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025 - REFORMA ESCOLA OLAVO BILAC\PLANILHA DINHO OK\"/>
    </mc:Choice>
  </mc:AlternateContent>
  <workbookProtection lockStructure="1"/>
  <bookViews>
    <workbookView xWindow="0" yWindow="0" windowWidth="15330" windowHeight="4635" tabRatio="801" activeTab="7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J20" i="11"/>
  <c r="I20" i="13" s="1"/>
  <c r="D20" i="11"/>
  <c r="A20" i="11" s="1"/>
  <c r="J19" i="11"/>
  <c r="I19" i="13" s="1"/>
  <c r="D19" i="11"/>
  <c r="A19" i="11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2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C45" i="4"/>
  <c r="A21" i="11"/>
  <c r="E21" i="13"/>
  <c r="E12" i="13"/>
  <c r="A16" i="11"/>
  <c r="A18" i="11"/>
  <c r="K91" i="4"/>
  <c r="C3" i="4"/>
  <c r="E14" i="13"/>
  <c r="A14" i="11"/>
  <c r="O8" i="5"/>
  <c r="W77" i="10" l="1"/>
  <c r="E19" i="13"/>
  <c r="A17" i="11"/>
  <c r="C33" i="4"/>
  <c r="A15" i="11"/>
  <c r="E20" i="13"/>
  <c r="K130" i="4"/>
  <c r="K131" i="4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K90" i="4"/>
  <c r="K50" i="4"/>
  <c r="T283" i="5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E16" i="5" l="1"/>
  <c r="B14" i="11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Y25" i="4" l="1"/>
  <c r="I14" i="5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B20" i="6"/>
  <c r="F20" i="5"/>
  <c r="B20" i="5"/>
  <c r="C21" i="5" s="1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29" i="4" l="1"/>
  <c r="K32" i="4" s="1"/>
  <c r="A21" i="12"/>
  <c r="R21" i="5"/>
  <c r="J20" i="12"/>
  <c r="K20" i="12" s="1"/>
  <c r="O14" i="5"/>
  <c r="D14" i="12" s="1"/>
  <c r="U109" i="4"/>
  <c r="J112" i="4" s="1"/>
  <c r="AB14" i="5"/>
  <c r="E21" i="5"/>
  <c r="H21" i="5"/>
  <c r="F21" i="5"/>
  <c r="W21" i="5"/>
  <c r="H21" i="12" s="1"/>
  <c r="AE21" i="5"/>
  <c r="B21" i="6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J32" i="4" l="1"/>
  <c r="E14" i="6"/>
  <c r="K11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AF20" i="6" l="1"/>
  <c r="AX20" i="6"/>
  <c r="AH20" i="6"/>
  <c r="G23" i="5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F24" i="5" s="1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L23" i="12"/>
  <c r="H22" i="6"/>
  <c r="T22" i="5" s="1"/>
  <c r="G22" i="12" s="1"/>
  <c r="C19" i="12"/>
  <c r="O19" i="12"/>
  <c r="AO19" i="12"/>
  <c r="M19" i="12"/>
  <c r="C19" i="6"/>
  <c r="O11" i="9"/>
  <c r="P12" i="9"/>
  <c r="G21" i="12"/>
  <c r="AB19" i="5"/>
  <c r="C25" i="7"/>
  <c r="B24" i="7"/>
  <c r="N18" i="12"/>
  <c r="I20" i="12"/>
  <c r="L20" i="5"/>
  <c r="AM20" i="5"/>
  <c r="Z20" i="5"/>
  <c r="I20" i="5"/>
  <c r="M22" i="6" l="1"/>
  <c r="AP22" i="6" s="1"/>
  <c r="X18" i="12"/>
  <c r="K24" i="5"/>
  <c r="AG21" i="6"/>
  <c r="AC21" i="6"/>
  <c r="A23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BF21" i="6"/>
  <c r="AD21" i="6"/>
  <c r="Q11" i="10"/>
  <c r="R12" i="10"/>
  <c r="BG12" i="6"/>
  <c r="BG18" i="6"/>
  <c r="BG19" i="6"/>
  <c r="BG20" i="6"/>
  <c r="K23" i="12"/>
  <c r="AB20" i="5"/>
  <c r="AA20" i="5"/>
  <c r="C20" i="6"/>
  <c r="O20" i="5"/>
  <c r="U18" i="12"/>
  <c r="T18" i="12"/>
  <c r="V18" i="12"/>
  <c r="N19" i="12"/>
  <c r="C20" i="12"/>
  <c r="M20" i="12"/>
  <c r="AO20" i="12"/>
  <c r="O20" i="12"/>
  <c r="B25" i="7"/>
  <c r="C26" i="7"/>
  <c r="I21" i="5"/>
  <c r="H23" i="6"/>
  <c r="T23" i="5" s="1"/>
  <c r="Q12" i="9"/>
  <c r="P11" i="9"/>
  <c r="Y19" i="12"/>
  <c r="AD22" i="6" l="1"/>
  <c r="AI22" i="6"/>
  <c r="AK22" i="6"/>
  <c r="AJ22" i="6"/>
  <c r="AC22" i="6"/>
  <c r="AH22" i="6"/>
  <c r="AB22" i="6"/>
  <c r="AG22" i="6"/>
  <c r="AF22" i="6"/>
  <c r="AE22" i="6"/>
  <c r="AM22" i="6"/>
  <c r="AV22" i="6"/>
  <c r="AR22" i="6"/>
  <c r="BG22" i="6"/>
  <c r="AS22" i="6"/>
  <c r="BB22" i="6"/>
  <c r="AT22" i="6"/>
  <c r="AY22" i="6"/>
  <c r="BC22" i="6"/>
  <c r="BE22" i="6"/>
  <c r="BA22" i="6"/>
  <c r="BD22" i="6"/>
  <c r="AN22" i="6"/>
  <c r="BF22" i="6"/>
  <c r="AZ22" i="6"/>
  <c r="AO22" i="6"/>
  <c r="AX22" i="6"/>
  <c r="AU22" i="6"/>
  <c r="AQ22" i="6"/>
  <c r="N20" i="12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B26" i="7"/>
  <c r="C27" i="7"/>
  <c r="E20" i="6"/>
  <c r="D20" i="12"/>
  <c r="H24" i="6"/>
  <c r="T24" i="5" s="1"/>
  <c r="Y20" i="12"/>
  <c r="A24" i="6"/>
  <c r="AM23" i="6" l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G24" i="12"/>
  <c r="X24" i="5"/>
  <c r="B27" i="7"/>
  <c r="C28" i="7"/>
  <c r="I23" i="12"/>
  <c r="L23" i="5"/>
  <c r="AM23" i="5"/>
  <c r="Z23" i="5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L26" i="12" l="1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L27" i="12"/>
  <c r="J27" i="12"/>
  <c r="AK24" i="6"/>
  <c r="AM24" i="5"/>
  <c r="L24" i="5"/>
  <c r="I24" i="12"/>
  <c r="Z24" i="5"/>
  <c r="AQ25" i="6" l="1"/>
  <c r="Y23" i="12"/>
  <c r="W23" i="12" s="1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N23" i="12"/>
  <c r="G26" i="12"/>
  <c r="X26" i="5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U24" i="12" l="1"/>
  <c r="T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X26" i="12" l="1"/>
  <c r="C33" i="5"/>
  <c r="AE33" i="5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B33" i="6" l="1"/>
  <c r="B33" i="5"/>
  <c r="A33" i="12"/>
  <c r="J33" i="12" s="1"/>
  <c r="N33" i="5"/>
  <c r="D33" i="6" s="1"/>
  <c r="C34" i="5"/>
  <c r="N34" i="5" s="1"/>
  <c r="W33" i="5"/>
  <c r="H33" i="12" s="1"/>
  <c r="AU30" i="6"/>
  <c r="F33" i="5"/>
  <c r="D33" i="5"/>
  <c r="B33" i="12" s="1"/>
  <c r="J33" i="5"/>
  <c r="G33" i="5"/>
  <c r="K33" i="5"/>
  <c r="AD33" i="5"/>
  <c r="H33" i="5"/>
  <c r="E33" i="5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L33" i="12" l="1"/>
  <c r="K33" i="12" s="1"/>
  <c r="W34" i="5"/>
  <c r="H34" i="12" s="1"/>
  <c r="AE34" i="5"/>
  <c r="B34" i="6"/>
  <c r="K34" i="5"/>
  <c r="D34" i="5"/>
  <c r="B34" i="12" s="1"/>
  <c r="C35" i="5"/>
  <c r="N35" i="5" s="1"/>
  <c r="J34" i="5"/>
  <c r="AD34" i="5"/>
  <c r="B34" i="5"/>
  <c r="G34" i="5"/>
  <c r="E34" i="5"/>
  <c r="A34" i="12"/>
  <c r="L34" i="12" s="1"/>
  <c r="H34" i="5"/>
  <c r="F34" i="5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C30" i="6"/>
  <c r="AG32" i="6"/>
  <c r="AE32" i="6"/>
  <c r="AC32" i="6"/>
  <c r="D34" i="6"/>
  <c r="H33" i="6"/>
  <c r="T33" i="5" s="1"/>
  <c r="F35" i="5" l="1"/>
  <c r="G35" i="5"/>
  <c r="J35" i="5"/>
  <c r="D35" i="5"/>
  <c r="B35" i="12" s="1"/>
  <c r="AD35" i="5"/>
  <c r="AE35" i="5"/>
  <c r="B35" i="6"/>
  <c r="K35" i="5"/>
  <c r="W35" i="5"/>
  <c r="H35" i="12" s="1"/>
  <c r="H35" i="5"/>
  <c r="B35" i="5"/>
  <c r="C36" i="5" s="1"/>
  <c r="A35" i="12"/>
  <c r="L35" i="12" s="1"/>
  <c r="E35" i="5"/>
  <c r="J34" i="12"/>
  <c r="K34" i="12" s="1"/>
  <c r="M33" i="6"/>
  <c r="BC33" i="6" s="1"/>
  <c r="W29" i="12"/>
  <c r="V29" i="12" s="1"/>
  <c r="AB11" i="10"/>
  <c r="AC12" i="10"/>
  <c r="Y30" i="12"/>
  <c r="W30" i="12" s="1"/>
  <c r="H34" i="6"/>
  <c r="T34" i="5" s="1"/>
  <c r="A34" i="6"/>
  <c r="D35" i="6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AD36" i="5" l="1"/>
  <c r="R36" i="5"/>
  <c r="F36" i="5"/>
  <c r="J35" i="12"/>
  <c r="G36" i="5"/>
  <c r="H36" i="5"/>
  <c r="C37" i="5"/>
  <c r="C38" i="5" s="1"/>
  <c r="AE36" i="5"/>
  <c r="B36" i="5"/>
  <c r="A36" i="12"/>
  <c r="B36" i="6"/>
  <c r="N36" i="5"/>
  <c r="D36" i="6" s="1"/>
  <c r="E36" i="5"/>
  <c r="W36" i="5"/>
  <c r="H36" i="12" s="1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H35" i="6"/>
  <c r="T35" i="5" s="1"/>
  <c r="K35" i="12"/>
  <c r="M34" i="6"/>
  <c r="G34" i="12"/>
  <c r="X34" i="5"/>
  <c r="B37" i="6" l="1"/>
  <c r="F37" i="5"/>
  <c r="F38" i="5" s="1"/>
  <c r="AD37" i="5"/>
  <c r="E37" i="5"/>
  <c r="E38" i="5" s="1"/>
  <c r="D37" i="5"/>
  <c r="B37" i="12" s="1"/>
  <c r="B37" i="5"/>
  <c r="B38" i="5" s="1"/>
  <c r="K37" i="5"/>
  <c r="H37" i="5"/>
  <c r="H38" i="5" s="1"/>
  <c r="N37" i="5"/>
  <c r="D37" i="6" s="1"/>
  <c r="AE37" i="5"/>
  <c r="J37" i="5"/>
  <c r="G37" i="5"/>
  <c r="G38" i="5" s="1"/>
  <c r="W37" i="5"/>
  <c r="H37" i="12" s="1"/>
  <c r="A37" i="12"/>
  <c r="J37" i="12" s="1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D38" i="5"/>
  <c r="B38" i="12" s="1"/>
  <c r="W38" i="5"/>
  <c r="H38" i="12" s="1"/>
  <c r="C39" i="5"/>
  <c r="A38" i="12"/>
  <c r="K38" i="5"/>
  <c r="AE38" i="5"/>
  <c r="B38" i="6"/>
  <c r="N38" i="5"/>
  <c r="J38" i="5"/>
  <c r="AD38" i="5"/>
  <c r="C33" i="6"/>
  <c r="AC11" i="9"/>
  <c r="AD12" i="9"/>
  <c r="AF35" i="6"/>
  <c r="AE35" i="6"/>
  <c r="AI35" i="6"/>
  <c r="AC35" i="6"/>
  <c r="B38" i="7"/>
  <c r="C39" i="7"/>
  <c r="H36" i="6"/>
  <c r="T36" i="5" s="1"/>
  <c r="AB33" i="5"/>
  <c r="C33" i="12"/>
  <c r="M33" i="12"/>
  <c r="AO33" i="12"/>
  <c r="O33" i="12"/>
  <c r="L37" i="12" l="1"/>
  <c r="K37" i="12" s="1"/>
  <c r="N33" i="12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C40" i="5"/>
  <c r="W39" i="5"/>
  <c r="H39" i="12" s="1"/>
  <c r="A39" i="12"/>
  <c r="AD39" i="5"/>
  <c r="F39" i="5"/>
  <c r="G39" i="5"/>
  <c r="H39" i="5"/>
  <c r="B39" i="6"/>
  <c r="B39" i="5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A34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C40" i="7"/>
  <c r="B39" i="7"/>
  <c r="AE12" i="9"/>
  <c r="AE11" i="9" s="1"/>
  <c r="AD11" i="9"/>
  <c r="C34" i="6"/>
  <c r="O34" i="5"/>
  <c r="C34" i="12"/>
  <c r="O34" i="12"/>
  <c r="M34" i="12"/>
  <c r="AO34" i="12"/>
  <c r="X33" i="12" l="1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E34" i="6"/>
  <c r="D34" i="12"/>
  <c r="B40" i="7"/>
  <c r="C41" i="7"/>
  <c r="AB35" i="5"/>
  <c r="AA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K40" i="5"/>
  <c r="H40" i="5"/>
  <c r="N40" i="5"/>
  <c r="D40" i="5"/>
  <c r="B40" i="12" s="1"/>
  <c r="AE40" i="5"/>
  <c r="J40" i="5"/>
  <c r="AD40" i="5"/>
  <c r="B40" i="6"/>
  <c r="A40" i="12"/>
  <c r="C41" i="5"/>
  <c r="V33" i="12"/>
  <c r="U33" i="12"/>
  <c r="T33" i="12"/>
  <c r="C35" i="6"/>
  <c r="O35" i="5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A39" i="6" l="1"/>
  <c r="M39" i="6" s="1"/>
  <c r="X34" i="12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E35" i="6"/>
  <c r="D35" i="12"/>
  <c r="J40" i="12"/>
  <c r="L40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X35" i="12" l="1"/>
  <c r="AH39" i="6"/>
  <c r="BD39" i="6"/>
  <c r="K40" i="12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D41" i="6"/>
  <c r="L41" i="12"/>
  <c r="J41" i="12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V35" i="12"/>
  <c r="T35" i="12"/>
  <c r="U35" i="12"/>
  <c r="C37" i="6"/>
  <c r="Y37" i="12" l="1"/>
  <c r="X37" i="12" s="1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B43" i="7"/>
  <c r="C44" i="7"/>
  <c r="L39" i="5"/>
  <c r="I39" i="12"/>
  <c r="AM39" i="5"/>
  <c r="Z39" i="5"/>
  <c r="C38" i="12"/>
  <c r="AO38" i="12"/>
  <c r="O38" i="12"/>
  <c r="M38" i="12"/>
  <c r="C38" i="6"/>
  <c r="K41" i="12"/>
  <c r="H41" i="6"/>
  <c r="T41" i="5" s="1"/>
  <c r="M40" i="6"/>
  <c r="G40" i="12"/>
  <c r="X40" i="5"/>
  <c r="W37" i="12" l="1"/>
  <c r="U37" i="12" s="1"/>
  <c r="A42" i="6"/>
  <c r="M42" i="6" s="1"/>
  <c r="AS42" i="6" s="1"/>
  <c r="M41" i="6"/>
  <c r="AP41" i="6" s="1"/>
  <c r="N38" i="12"/>
  <c r="K42" i="12"/>
  <c r="AB39" i="5"/>
  <c r="C39" i="6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C39" i="12"/>
  <c r="O39" i="12"/>
  <c r="M39" i="12"/>
  <c r="AO39" i="12"/>
  <c r="B44" i="7"/>
  <c r="C45" i="7"/>
  <c r="D43" i="6"/>
  <c r="H42" i="6"/>
  <c r="T42" i="5" s="1"/>
  <c r="V37" i="12" l="1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2" i="6"/>
  <c r="AB42" i="6"/>
  <c r="AO42" i="6"/>
  <c r="AX42" i="6"/>
  <c r="AF42" i="6"/>
  <c r="AD42" i="6"/>
  <c r="AK42" i="6"/>
  <c r="B45" i="7"/>
  <c r="C46" i="7"/>
  <c r="X38" i="12"/>
  <c r="W38" i="12"/>
  <c r="C40" i="6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H43" i="6"/>
  <c r="T43" i="5" s="1"/>
  <c r="G43" i="12" s="1"/>
  <c r="I41" i="12"/>
  <c r="L41" i="5"/>
  <c r="AM41" i="5"/>
  <c r="Z41" i="5"/>
  <c r="AB40" i="5"/>
  <c r="C40" i="12"/>
  <c r="AO40" i="12"/>
  <c r="O40" i="12"/>
  <c r="M40" i="12"/>
  <c r="D44" i="6"/>
  <c r="L44" i="12"/>
  <c r="J44" i="12"/>
  <c r="X39" i="12" l="1"/>
  <c r="M43" i="6"/>
  <c r="AU43" i="6" s="1"/>
  <c r="N40" i="12"/>
  <c r="K44" i="12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AD46" i="5"/>
  <c r="J46" i="5"/>
  <c r="C47" i="5"/>
  <c r="G46" i="5"/>
  <c r="B46" i="6"/>
  <c r="D46" i="5"/>
  <c r="B46" i="12" s="1"/>
  <c r="E46" i="5"/>
  <c r="B46" i="5"/>
  <c r="T38" i="12"/>
  <c r="V38" i="12"/>
  <c r="U38" i="12"/>
  <c r="V39" i="12"/>
  <c r="U39" i="12"/>
  <c r="T39" i="12"/>
  <c r="C47" i="7"/>
  <c r="B46" i="7"/>
  <c r="Y40" i="12"/>
  <c r="C41" i="6"/>
  <c r="I42" i="12"/>
  <c r="L42" i="5"/>
  <c r="AM42" i="5"/>
  <c r="Z42" i="5"/>
  <c r="A44" i="6"/>
  <c r="L45" i="12"/>
  <c r="J45" i="12"/>
  <c r="D45" i="6"/>
  <c r="AD43" i="6" l="1"/>
  <c r="AC43" i="6"/>
  <c r="AG43" i="6"/>
  <c r="AP43" i="6"/>
  <c r="AK43" i="6"/>
  <c r="BE43" i="6"/>
  <c r="AM43" i="6"/>
  <c r="AF43" i="6"/>
  <c r="AH43" i="6"/>
  <c r="BF43" i="6"/>
  <c r="AN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K45" i="12"/>
  <c r="AB42" i="5"/>
  <c r="C42" i="6"/>
  <c r="X40" i="12"/>
  <c r="W40" i="12"/>
  <c r="C48" i="7"/>
  <c r="B47" i="7"/>
  <c r="AE47" i="5"/>
  <c r="G47" i="5"/>
  <c r="W47" i="5"/>
  <c r="H47" i="12" s="1"/>
  <c r="B47" i="5"/>
  <c r="C48" i="5" s="1"/>
  <c r="R48" i="5" s="1"/>
  <c r="J47" i="5"/>
  <c r="D47" i="5"/>
  <c r="B47" i="12" s="1"/>
  <c r="K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C42" i="12"/>
  <c r="O42" i="12"/>
  <c r="AO42" i="12"/>
  <c r="M42" i="12"/>
  <c r="J46" i="12"/>
  <c r="L46" i="12"/>
  <c r="A45" i="6"/>
  <c r="Y41" i="12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D47" i="6"/>
  <c r="W48" i="5"/>
  <c r="H48" i="12" s="1"/>
  <c r="AE48" i="5"/>
  <c r="N48" i="5"/>
  <c r="AD48" i="5"/>
  <c r="F48" i="5"/>
  <c r="B48" i="6"/>
  <c r="C49" i="5"/>
  <c r="G48" i="5"/>
  <c r="E48" i="5"/>
  <c r="H48" i="5"/>
  <c r="A48" i="12"/>
  <c r="B48" i="5"/>
  <c r="U40" i="12"/>
  <c r="V40" i="12"/>
  <c r="T40" i="12"/>
  <c r="AJ45" i="6" l="1"/>
  <c r="K47" i="12"/>
  <c r="A47" i="6"/>
  <c r="AE45" i="6"/>
  <c r="AB45" i="6"/>
  <c r="AC45" i="6"/>
  <c r="X42" i="12"/>
  <c r="W42" i="12"/>
  <c r="B49" i="7"/>
  <c r="C50" i="7"/>
  <c r="M46" i="6"/>
  <c r="AG46" i="6" s="1"/>
  <c r="C44" i="6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E48" i="12"/>
  <c r="F48" i="6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M47" i="6" l="1"/>
  <c r="BA47" i="6" s="1"/>
  <c r="N44" i="12"/>
  <c r="C45" i="6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X47" i="5"/>
  <c r="G48" i="6"/>
  <c r="H48" i="6"/>
  <c r="T48" i="5" s="1"/>
  <c r="D49" i="6"/>
  <c r="J49" i="12"/>
  <c r="L49" i="12"/>
  <c r="A48" i="6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N45" i="12"/>
  <c r="H49" i="6"/>
  <c r="T49" i="5" s="1"/>
  <c r="G48" i="12"/>
  <c r="F51" i="5"/>
  <c r="C52" i="5"/>
  <c r="AD51" i="5"/>
  <c r="K51" i="5"/>
  <c r="E51" i="5"/>
  <c r="B51" i="6"/>
  <c r="J51" i="5"/>
  <c r="AE51" i="5"/>
  <c r="N51" i="5"/>
  <c r="D51" i="5"/>
  <c r="B51" i="12" s="1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8" i="6"/>
  <c r="AF48" i="6" s="1"/>
  <c r="I47" i="12"/>
  <c r="AM47" i="5"/>
  <c r="L47" i="5"/>
  <c r="Z47" i="5"/>
  <c r="W44" i="12"/>
  <c r="X44" i="12"/>
  <c r="C52" i="7"/>
  <c r="B51" i="7"/>
  <c r="J50" i="12"/>
  <c r="L50" i="12"/>
  <c r="D50" i="6"/>
  <c r="AB46" i="5"/>
  <c r="C46" i="6"/>
  <c r="M49" i="6" l="1"/>
  <c r="AM49" i="6" s="1"/>
  <c r="W45" i="12"/>
  <c r="T45" i="12" s="1"/>
  <c r="A50" i="6"/>
  <c r="AC48" i="6"/>
  <c r="AH48" i="6"/>
  <c r="K50" i="12"/>
  <c r="AJ48" i="6"/>
  <c r="AI48" i="6"/>
  <c r="AK48" i="6"/>
  <c r="AB47" i="5"/>
  <c r="AA47" i="5"/>
  <c r="N46" i="12"/>
  <c r="J51" i="12"/>
  <c r="L51" i="12"/>
  <c r="E52" i="5"/>
  <c r="D52" i="5"/>
  <c r="B52" i="12" s="1"/>
  <c r="J52" i="5"/>
  <c r="A52" i="12"/>
  <c r="AE52" i="5"/>
  <c r="F52" i="5"/>
  <c r="G52" i="5"/>
  <c r="B52" i="5"/>
  <c r="C53" i="5" s="1"/>
  <c r="W52" i="5"/>
  <c r="H52" i="12" s="1"/>
  <c r="K52" i="5"/>
  <c r="N52" i="5"/>
  <c r="H52" i="5"/>
  <c r="B52" i="6"/>
  <c r="AD52" i="5"/>
  <c r="H50" i="6"/>
  <c r="T50" i="5" s="1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D51" i="6"/>
  <c r="AG48" i="6"/>
  <c r="AD48" i="6"/>
  <c r="G49" i="12"/>
  <c r="X49" i="5"/>
  <c r="AF49" i="6" l="1"/>
  <c r="AH49" i="6"/>
  <c r="AZ49" i="6"/>
  <c r="AR49" i="6"/>
  <c r="AY49" i="6"/>
  <c r="AE49" i="6"/>
  <c r="AK49" i="6"/>
  <c r="AP49" i="6"/>
  <c r="AX49" i="6"/>
  <c r="M50" i="6"/>
  <c r="BD50" i="6" s="1"/>
  <c r="AC49" i="6"/>
  <c r="BB49" i="6"/>
  <c r="AB49" i="6"/>
  <c r="AI49" i="6"/>
  <c r="AJ49" i="6"/>
  <c r="AG49" i="6"/>
  <c r="BE49" i="6"/>
  <c r="AS49" i="6"/>
  <c r="AD49" i="6"/>
  <c r="AV49" i="6"/>
  <c r="BF49" i="6"/>
  <c r="AN49" i="6"/>
  <c r="BC49" i="6"/>
  <c r="AQ49" i="6"/>
  <c r="BG49" i="6"/>
  <c r="AT49" i="6"/>
  <c r="BA49" i="6"/>
  <c r="AU49" i="6"/>
  <c r="BD49" i="6"/>
  <c r="AO49" i="6"/>
  <c r="V45" i="12"/>
  <c r="U45" i="12"/>
  <c r="A51" i="6"/>
  <c r="M51" i="6" s="1"/>
  <c r="AY51" i="6" s="1"/>
  <c r="N47" i="12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I49" i="12"/>
  <c r="AM49" i="5"/>
  <c r="L49" i="5"/>
  <c r="Z49" i="5"/>
  <c r="H51" i="6"/>
  <c r="T51" i="5" s="1"/>
  <c r="Y47" i="12"/>
  <c r="E47" i="6"/>
  <c r="D47" i="12"/>
  <c r="C54" i="7"/>
  <c r="B53" i="7"/>
  <c r="D52" i="6"/>
  <c r="L52" i="12"/>
  <c r="J52" i="12"/>
  <c r="AF50" i="6" l="1"/>
  <c r="AI50" i="6"/>
  <c r="AB50" i="6"/>
  <c r="AG50" i="6"/>
  <c r="AV50" i="6"/>
  <c r="AE50" i="6"/>
  <c r="AP50" i="6"/>
  <c r="AC50" i="6"/>
  <c r="AU50" i="6"/>
  <c r="AT50" i="6"/>
  <c r="AM50" i="6"/>
  <c r="AH50" i="6"/>
  <c r="BG50" i="6"/>
  <c r="AR50" i="6"/>
  <c r="AD50" i="6"/>
  <c r="BB50" i="6"/>
  <c r="AX50" i="6"/>
  <c r="AQ50" i="6"/>
  <c r="AY50" i="6"/>
  <c r="AS50" i="6"/>
  <c r="BF50" i="6"/>
  <c r="AJ50" i="6"/>
  <c r="AK50" i="6"/>
  <c r="BE50" i="6"/>
  <c r="AO50" i="6"/>
  <c r="AZ50" i="6"/>
  <c r="BA50" i="6"/>
  <c r="BC50" i="6"/>
  <c r="AN50" i="6"/>
  <c r="BA51" i="6"/>
  <c r="AZ51" i="6"/>
  <c r="AF51" i="6"/>
  <c r="AU51" i="6"/>
  <c r="AS51" i="6"/>
  <c r="AQ51" i="6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X51" i="5"/>
  <c r="C49" i="6"/>
  <c r="C49" i="12"/>
  <c r="M49" i="12"/>
  <c r="AO49" i="12"/>
  <c r="O49" i="12"/>
  <c r="L50" i="5"/>
  <c r="I50" i="12"/>
  <c r="AM50" i="5"/>
  <c r="Z50" i="5"/>
  <c r="U46" i="12"/>
  <c r="V46" i="12"/>
  <c r="T46" i="12"/>
  <c r="D53" i="6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53" i="6" l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AD55" i="5"/>
  <c r="G55" i="5"/>
  <c r="F55" i="5"/>
  <c r="AE55" i="5"/>
  <c r="B55" i="5"/>
  <c r="C56" i="5" s="1"/>
  <c r="R56" i="5" s="1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B50" i="5"/>
  <c r="C50" i="12"/>
  <c r="O50" i="12"/>
  <c r="M50" i="12"/>
  <c r="AO50" i="12"/>
  <c r="V47" i="12"/>
  <c r="U47" i="12"/>
  <c r="T47" i="12"/>
  <c r="D54" i="6"/>
  <c r="J54" i="12"/>
  <c r="L54" i="12"/>
  <c r="B55" i="7"/>
  <c r="C56" i="7"/>
  <c r="C50" i="6"/>
  <c r="AM51" i="5"/>
  <c r="L51" i="5"/>
  <c r="I51" i="12"/>
  <c r="Z51" i="5"/>
  <c r="G52" i="12"/>
  <c r="X52" i="5"/>
  <c r="AC52" i="6"/>
  <c r="AJ52" i="6"/>
  <c r="M53" i="6" l="1"/>
  <c r="AX53" i="6" s="1"/>
  <c r="W49" i="12"/>
  <c r="U49" i="12" s="1"/>
  <c r="Y50" i="12"/>
  <c r="X50" i="12" s="1"/>
  <c r="N50" i="12"/>
  <c r="K54" i="12"/>
  <c r="AB51" i="5"/>
  <c r="C51" i="12"/>
  <c r="M51" i="12"/>
  <c r="O51" i="12"/>
  <c r="AO51" i="12"/>
  <c r="J55" i="12"/>
  <c r="L55" i="12"/>
  <c r="AD56" i="5"/>
  <c r="B56" i="6"/>
  <c r="G56" i="5"/>
  <c r="H56" i="5"/>
  <c r="E56" i="5"/>
  <c r="W56" i="5"/>
  <c r="H56" i="12" s="1"/>
  <c r="N56" i="5"/>
  <c r="F56" i="5"/>
  <c r="A56" i="12"/>
  <c r="C57" i="5"/>
  <c r="AE56" i="5"/>
  <c r="B56" i="5"/>
  <c r="I52" i="12"/>
  <c r="L52" i="5"/>
  <c r="AM52" i="5"/>
  <c r="Z52" i="5"/>
  <c r="C51" i="6"/>
  <c r="C57" i="7"/>
  <c r="B56" i="7"/>
  <c r="H54" i="6"/>
  <c r="T54" i="5" s="1"/>
  <c r="D55" i="6"/>
  <c r="A54" i="6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K55" i="12"/>
  <c r="H55" i="6"/>
  <c r="T55" i="5" s="1"/>
  <c r="G54" i="12"/>
  <c r="X54" i="5"/>
  <c r="M54" i="6"/>
  <c r="AH54" i="6" s="1"/>
  <c r="B57" i="7"/>
  <c r="C58" i="7"/>
  <c r="C52" i="12"/>
  <c r="AO52" i="12"/>
  <c r="M52" i="12"/>
  <c r="O52" i="12"/>
  <c r="D56" i="6"/>
  <c r="A55" i="6"/>
  <c r="AB52" i="5"/>
  <c r="C52" i="6"/>
  <c r="F56" i="6"/>
  <c r="E56" i="12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V50" i="12" l="1"/>
  <c r="T50" i="12"/>
  <c r="X51" i="12"/>
  <c r="AG54" i="6"/>
  <c r="A56" i="6"/>
  <c r="M56" i="6" s="1"/>
  <c r="N52" i="12"/>
  <c r="AE54" i="6"/>
  <c r="D57" i="6"/>
  <c r="H56" i="6"/>
  <c r="T56" i="5" s="1"/>
  <c r="G56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57" i="6" l="1"/>
  <c r="M57" i="6" s="1"/>
  <c r="AM57" i="6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AM55" i="5"/>
  <c r="I55" i="12"/>
  <c r="L55" i="5"/>
  <c r="Z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H57" i="6"/>
  <c r="T57" i="5" s="1"/>
  <c r="AR57" i="6" l="1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C55" i="12"/>
  <c r="AO55" i="12"/>
  <c r="M55" i="12"/>
  <c r="O55" i="12"/>
  <c r="T52" i="12"/>
  <c r="U52" i="12"/>
  <c r="V52" i="12"/>
  <c r="C61" i="7"/>
  <c r="B60" i="7"/>
  <c r="D54" i="12"/>
  <c r="E54" i="6"/>
  <c r="J59" i="12"/>
  <c r="L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W54" i="12" l="1"/>
  <c r="V54" i="12" s="1"/>
  <c r="N55" i="12"/>
  <c r="L60" i="12"/>
  <c r="J60" i="12"/>
  <c r="M58" i="6"/>
  <c r="AM57" i="5"/>
  <c r="I57" i="12"/>
  <c r="L57" i="5"/>
  <c r="Z57" i="5"/>
  <c r="C62" i="7"/>
  <c r="B61" i="7"/>
  <c r="Y55" i="12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E55" i="6"/>
  <c r="D55" i="12"/>
  <c r="K59" i="12"/>
  <c r="T54" i="12" l="1"/>
  <c r="U54" i="12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W55" i="12"/>
  <c r="X55" i="12"/>
  <c r="C63" i="7"/>
  <c r="B62" i="7"/>
  <c r="AB57" i="5"/>
  <c r="C57" i="6"/>
  <c r="K60" i="12"/>
  <c r="M60" i="6" l="1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AB58" i="5"/>
  <c r="C58" i="6"/>
  <c r="A61" i="6"/>
  <c r="M61" i="6" s="1"/>
  <c r="N57" i="12"/>
  <c r="I59" i="12"/>
  <c r="AM59" i="5"/>
  <c r="L59" i="5"/>
  <c r="Z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C58" i="12"/>
  <c r="AO58" i="12"/>
  <c r="M58" i="12"/>
  <c r="O58" i="12"/>
  <c r="BA60" i="6" l="1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AB59" i="5"/>
  <c r="C59" i="6"/>
  <c r="C59" i="12"/>
  <c r="M59" i="12"/>
  <c r="O59" i="12"/>
  <c r="AO59" i="12"/>
  <c r="K62" i="12"/>
  <c r="AE61" i="6"/>
  <c r="AB61" i="6"/>
  <c r="AK61" i="6"/>
  <c r="AH61" i="6"/>
  <c r="M62" i="6" l="1"/>
  <c r="AZ62" i="6" s="1"/>
  <c r="N59" i="12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B60" i="5"/>
  <c r="C60" i="12"/>
  <c r="AO60" i="12"/>
  <c r="M60" i="12"/>
  <c r="O60" i="12"/>
  <c r="H63" i="6"/>
  <c r="T63" i="5" s="1"/>
  <c r="Y59" i="12"/>
  <c r="X58" i="12"/>
  <c r="W58" i="12"/>
  <c r="I61" i="12"/>
  <c r="AM61" i="5"/>
  <c r="L61" i="5"/>
  <c r="Z61" i="5"/>
  <c r="C60" i="6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T58" i="12"/>
  <c r="V58" i="12"/>
  <c r="U58" i="12"/>
  <c r="W59" i="12"/>
  <c r="X59" i="12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C62" i="6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66" i="6" l="1"/>
  <c r="Y62" i="12"/>
  <c r="W62" i="12" s="1"/>
  <c r="M65" i="6"/>
  <c r="AD65" i="6" s="1"/>
  <c r="C63" i="6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N62" i="12"/>
  <c r="W61" i="12"/>
  <c r="X61" i="12"/>
  <c r="I64" i="12"/>
  <c r="AM64" i="5"/>
  <c r="L64" i="5"/>
  <c r="Z64" i="5"/>
  <c r="M66" i="6" l="1"/>
  <c r="AZ66" i="6" s="1"/>
  <c r="X62" i="12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T62" i="12"/>
  <c r="U62" i="12"/>
  <c r="V62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E69" i="5"/>
  <c r="A67" i="6"/>
  <c r="M67" i="6" s="1"/>
  <c r="AJ66" i="6" l="1"/>
  <c r="AH66" i="6"/>
  <c r="AI66" i="6"/>
  <c r="BE66" i="6"/>
  <c r="AB66" i="6"/>
  <c r="AO66" i="6"/>
  <c r="AU66" i="6"/>
  <c r="AM66" i="6"/>
  <c r="AT66" i="6"/>
  <c r="AK66" i="6"/>
  <c r="AE66" i="6"/>
  <c r="AC66" i="6"/>
  <c r="AX66" i="6"/>
  <c r="AQ66" i="6"/>
  <c r="AP66" i="6"/>
  <c r="AS66" i="6"/>
  <c r="BB66" i="6"/>
  <c r="AV66" i="6"/>
  <c r="BD66" i="6"/>
  <c r="AY66" i="6"/>
  <c r="AR66" i="6"/>
  <c r="BC66" i="6"/>
  <c r="BA66" i="6"/>
  <c r="AG66" i="6"/>
  <c r="AF66" i="6"/>
  <c r="BG66" i="6"/>
  <c r="BF66" i="6"/>
  <c r="AN66" i="6"/>
  <c r="AD66" i="6"/>
  <c r="X63" i="12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J70" i="5"/>
  <c r="H70" i="5"/>
  <c r="W70" i="5"/>
  <c r="H70" i="12" s="1"/>
  <c r="G70" i="5"/>
  <c r="F70" i="5"/>
  <c r="B70" i="5"/>
  <c r="C71" i="5" s="1"/>
  <c r="R71" i="5" s="1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N65" i="12" l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AD71" i="5"/>
  <c r="B71" i="6"/>
  <c r="G71" i="5"/>
  <c r="C72" i="5"/>
  <c r="AE71" i="5"/>
  <c r="B71" i="5"/>
  <c r="N71" i="5"/>
  <c r="G68" i="12"/>
  <c r="X68" i="5"/>
  <c r="W64" i="12"/>
  <c r="X64" i="12"/>
  <c r="Y65" i="12"/>
  <c r="D70" i="6"/>
  <c r="A69" i="6"/>
  <c r="L67" i="5"/>
  <c r="AM67" i="5"/>
  <c r="I67" i="12"/>
  <c r="Z67" i="5"/>
  <c r="AH68" i="6"/>
  <c r="AB68" i="6"/>
  <c r="AD68" i="6"/>
  <c r="AJ68" i="6"/>
  <c r="AI68" i="6"/>
  <c r="H69" i="6"/>
  <c r="T69" i="5" s="1"/>
  <c r="A70" i="6" l="1"/>
  <c r="M70" i="6" s="1"/>
  <c r="BE70" i="6" s="1"/>
  <c r="G69" i="12"/>
  <c r="X69" i="5"/>
  <c r="AB67" i="5"/>
  <c r="L68" i="5"/>
  <c r="I68" i="12"/>
  <c r="AM68" i="5"/>
  <c r="Z68" i="5"/>
  <c r="D71" i="6"/>
  <c r="E71" i="12"/>
  <c r="F71" i="6"/>
  <c r="K70" i="12"/>
  <c r="M69" i="6"/>
  <c r="C67" i="12"/>
  <c r="O67" i="12"/>
  <c r="M67" i="12"/>
  <c r="AO67" i="12"/>
  <c r="C67" i="6"/>
  <c r="H70" i="6"/>
  <c r="T70" i="5" s="1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Y67" i="12" l="1"/>
  <c r="X67" i="12" s="1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C68" i="12"/>
  <c r="M68" i="12"/>
  <c r="O68" i="12"/>
  <c r="AO68" i="12"/>
  <c r="AH69" i="6"/>
  <c r="AC69" i="6"/>
  <c r="A72" i="6" l="1"/>
  <c r="M72" i="6" s="1"/>
  <c r="BA72" i="6" s="1"/>
  <c r="W67" i="12"/>
  <c r="U67" i="12" s="1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A74" i="12"/>
  <c r="H74" i="5"/>
  <c r="W74" i="5"/>
  <c r="H74" i="12" s="1"/>
  <c r="B74" i="6"/>
  <c r="N74" i="5"/>
  <c r="B74" i="5"/>
  <c r="C69" i="6"/>
  <c r="J73" i="12"/>
  <c r="L73" i="12"/>
  <c r="N68" i="12"/>
  <c r="I70" i="12"/>
  <c r="L70" i="5"/>
  <c r="AM70" i="5"/>
  <c r="Z70" i="5"/>
  <c r="H72" i="6"/>
  <c r="T72" i="5" s="1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K72" i="12"/>
  <c r="D73" i="6"/>
  <c r="K66" i="5" l="1"/>
  <c r="A73" i="6"/>
  <c r="M73" i="6" s="1"/>
  <c r="BC73" i="6" s="1"/>
  <c r="T67" i="12"/>
  <c r="V67" i="12"/>
  <c r="N69" i="12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H73" i="6"/>
  <c r="T73" i="5" s="1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T68" i="12" l="1"/>
  <c r="A74" i="6"/>
  <c r="M74" i="6" s="1"/>
  <c r="AS74" i="6" s="1"/>
  <c r="V68" i="12"/>
  <c r="AX73" i="6"/>
  <c r="BF73" i="6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Y70" i="12"/>
  <c r="X69" i="12"/>
  <c r="W69" i="12"/>
  <c r="G73" i="12"/>
  <c r="X73" i="5"/>
  <c r="D70" i="12"/>
  <c r="E70" i="6"/>
  <c r="L75" i="12"/>
  <c r="J75" i="12"/>
  <c r="D75" i="6"/>
  <c r="H74" i="6"/>
  <c r="T74" i="5" s="1"/>
  <c r="G74" i="12" s="1"/>
  <c r="AM72" i="5"/>
  <c r="I72" i="12"/>
  <c r="L72" i="5"/>
  <c r="Z72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AI74" i="6"/>
  <c r="AE74" i="6"/>
  <c r="AC74" i="6"/>
  <c r="AH74" i="6"/>
  <c r="AK74" i="6"/>
  <c r="AJ74" i="6"/>
  <c r="AB72" i="5"/>
  <c r="C72" i="6"/>
  <c r="I73" i="12"/>
  <c r="L73" i="5"/>
  <c r="AM73" i="5"/>
  <c r="Z73" i="5"/>
  <c r="V69" i="12"/>
  <c r="T69" i="12"/>
  <c r="U69" i="12"/>
  <c r="W70" i="12"/>
  <c r="X70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K75" i="12"/>
  <c r="A77" i="12"/>
  <c r="H77" i="5"/>
  <c r="J77" i="5"/>
  <c r="C78" i="5"/>
  <c r="K77" i="5"/>
  <c r="B77" i="5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Y72" i="12" l="1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X72" i="12" l="1"/>
  <c r="N73" i="12"/>
  <c r="A77" i="6"/>
  <c r="M77" i="6" s="1"/>
  <c r="K77" i="12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M76" i="6"/>
  <c r="AJ76" i="6" s="1"/>
  <c r="L75" i="5"/>
  <c r="I75" i="12"/>
  <c r="AM75" i="5"/>
  <c r="Z75" i="5"/>
  <c r="G76" i="12"/>
  <c r="X76" i="5"/>
  <c r="AB76" i="6" l="1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X78" i="5"/>
  <c r="AC78" i="6"/>
  <c r="AI78" i="6"/>
  <c r="AJ78" i="6"/>
  <c r="AB76" i="5"/>
  <c r="C76" i="6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B77" i="5"/>
  <c r="C77" i="6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K81" i="12" l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C78" i="12"/>
  <c r="AO78" i="12"/>
  <c r="M78" i="12"/>
  <c r="O78" i="12"/>
  <c r="C78" i="6"/>
  <c r="AM79" i="5"/>
  <c r="I79" i="12"/>
  <c r="L79" i="5"/>
  <c r="Z79" i="5"/>
  <c r="N77" i="12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M81" i="6" l="1"/>
  <c r="AF81" i="6" s="1"/>
  <c r="N78" i="12"/>
  <c r="J84" i="5"/>
  <c r="W84" i="5"/>
  <c r="H84" i="12" s="1"/>
  <c r="G84" i="5"/>
  <c r="F84" i="5"/>
  <c r="A84" i="12"/>
  <c r="K84" i="5"/>
  <c r="H84" i="5"/>
  <c r="B84" i="6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C79" i="12"/>
  <c r="M79" i="12"/>
  <c r="O79" i="12"/>
  <c r="AO79" i="12"/>
  <c r="Y78" i="12"/>
  <c r="AM80" i="5"/>
  <c r="L80" i="5"/>
  <c r="I80" i="12"/>
  <c r="Z80" i="5"/>
  <c r="D83" i="6"/>
  <c r="J83" i="12"/>
  <c r="L83" i="12"/>
  <c r="X77" i="12"/>
  <c r="W77" i="12"/>
  <c r="G81" i="12"/>
  <c r="X81" i="5"/>
  <c r="K82" i="12"/>
  <c r="AB79" i="5"/>
  <c r="C79" i="6"/>
  <c r="BE81" i="6" l="1"/>
  <c r="AS81" i="6"/>
  <c r="AC81" i="6"/>
  <c r="AT81" i="6"/>
  <c r="AB81" i="6"/>
  <c r="BC81" i="6"/>
  <c r="AX81" i="6"/>
  <c r="AO81" i="6"/>
  <c r="AD81" i="6"/>
  <c r="N79" i="12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W78" i="12"/>
  <c r="X78" i="12"/>
  <c r="D84" i="6"/>
  <c r="AM81" i="5"/>
  <c r="I81" i="12"/>
  <c r="L81" i="5"/>
  <c r="Z81" i="5"/>
  <c r="V77" i="12"/>
  <c r="T77" i="12"/>
  <c r="U77" i="12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C86" i="5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L85" i="12"/>
  <c r="J85" i="12"/>
  <c r="D85" i="6"/>
  <c r="I82" i="12"/>
  <c r="L82" i="5"/>
  <c r="AM82" i="5"/>
  <c r="Z82" i="5"/>
  <c r="W79" i="12"/>
  <c r="X79" i="12"/>
  <c r="C81" i="12"/>
  <c r="AO81" i="12"/>
  <c r="O81" i="12"/>
  <c r="M81" i="12"/>
  <c r="H84" i="6"/>
  <c r="T84" i="5" s="1"/>
  <c r="G83" i="12"/>
  <c r="X83" i="5"/>
  <c r="N80" i="12"/>
  <c r="Y80" i="12"/>
  <c r="AB81" i="5"/>
  <c r="C81" i="6"/>
  <c r="U78" i="12"/>
  <c r="V78" i="12"/>
  <c r="T78" i="12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N81" i="12"/>
  <c r="X80" i="12"/>
  <c r="W80" i="12"/>
  <c r="U79" i="12"/>
  <c r="T79" i="12"/>
  <c r="V79" i="12"/>
  <c r="AB82" i="5"/>
  <c r="C82" i="12"/>
  <c r="O82" i="12"/>
  <c r="AO82" i="12"/>
  <c r="M82" i="12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K85" i="12"/>
  <c r="M85" i="6" l="1"/>
  <c r="AO85" i="6" s="1"/>
  <c r="A86" i="6"/>
  <c r="Y82" i="12"/>
  <c r="W82" i="12" s="1"/>
  <c r="W81" i="12"/>
  <c r="X81" i="12"/>
  <c r="C83" i="6"/>
  <c r="H86" i="6"/>
  <c r="T86" i="5" s="1"/>
  <c r="J87" i="12"/>
  <c r="L87" i="12"/>
  <c r="G85" i="12"/>
  <c r="X85" i="5"/>
  <c r="V80" i="12"/>
  <c r="T80" i="12"/>
  <c r="U80" i="12"/>
  <c r="I84" i="12"/>
  <c r="L84" i="5"/>
  <c r="AM84" i="5"/>
  <c r="Z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J88" i="5"/>
  <c r="A88" i="12"/>
  <c r="C89" i="5"/>
  <c r="F88" i="5"/>
  <c r="AE88" i="5"/>
  <c r="AD88" i="5"/>
  <c r="N82" i="12"/>
  <c r="AX85" i="6" l="1"/>
  <c r="AV85" i="6"/>
  <c r="AF85" i="6"/>
  <c r="AH85" i="6"/>
  <c r="AT85" i="6"/>
  <c r="AE85" i="6"/>
  <c r="AZ85" i="6"/>
  <c r="AJ85" i="6"/>
  <c r="AK85" i="6"/>
  <c r="BE85" i="6"/>
  <c r="AI85" i="6"/>
  <c r="BB85" i="6"/>
  <c r="AG85" i="6"/>
  <c r="BC85" i="6"/>
  <c r="AR85" i="6"/>
  <c r="AD85" i="6"/>
  <c r="AB85" i="6"/>
  <c r="AC85" i="6"/>
  <c r="BA85" i="6"/>
  <c r="BF85" i="6"/>
  <c r="AS85" i="6"/>
  <c r="AM85" i="6"/>
  <c r="AY85" i="6"/>
  <c r="AP85" i="6"/>
  <c r="AU85" i="6"/>
  <c r="AQ85" i="6"/>
  <c r="BD85" i="6"/>
  <c r="AN85" i="6"/>
  <c r="BG85" i="6"/>
  <c r="A87" i="6"/>
  <c r="M87" i="6" s="1"/>
  <c r="AV87" i="6" s="1"/>
  <c r="M86" i="6"/>
  <c r="BA86" i="6" s="1"/>
  <c r="X82" i="12"/>
  <c r="K87" i="12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G86" i="12"/>
  <c r="X86" i="5"/>
  <c r="J88" i="12"/>
  <c r="L88" i="12"/>
  <c r="H87" i="6"/>
  <c r="T87" i="5" s="1"/>
  <c r="N83" i="12"/>
  <c r="Y83" i="12"/>
  <c r="AB84" i="5"/>
  <c r="C84" i="6"/>
  <c r="T82" i="12"/>
  <c r="V82" i="12"/>
  <c r="U82" i="12"/>
  <c r="U81" i="12"/>
  <c r="V81" i="12"/>
  <c r="T81" i="12"/>
  <c r="AC86" i="6" l="1"/>
  <c r="AK86" i="6"/>
  <c r="AI86" i="6"/>
  <c r="A88" i="6"/>
  <c r="M88" i="6" s="1"/>
  <c r="AN88" i="6" s="1"/>
  <c r="BD86" i="6"/>
  <c r="AV86" i="6"/>
  <c r="AQ86" i="6"/>
  <c r="AU86" i="6"/>
  <c r="AD86" i="6"/>
  <c r="AH86" i="6"/>
  <c r="AX86" i="6"/>
  <c r="AS86" i="6"/>
  <c r="AE86" i="6"/>
  <c r="BG86" i="6"/>
  <c r="AN86" i="6"/>
  <c r="AJ86" i="6"/>
  <c r="AG86" i="6"/>
  <c r="BB86" i="6"/>
  <c r="AO86" i="6"/>
  <c r="AM86" i="6"/>
  <c r="AP86" i="6"/>
  <c r="AT86" i="6"/>
  <c r="BF86" i="6"/>
  <c r="AF86" i="6"/>
  <c r="AB86" i="6"/>
  <c r="AY86" i="6"/>
  <c r="AR86" i="6"/>
  <c r="BC86" i="6"/>
  <c r="BE86" i="6"/>
  <c r="AZ86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W83" i="12"/>
  <c r="X83" i="12"/>
  <c r="G87" i="12"/>
  <c r="X87" i="5"/>
  <c r="AM86" i="5"/>
  <c r="I86" i="12"/>
  <c r="L86" i="5"/>
  <c r="Z86" i="5"/>
  <c r="AB85" i="5"/>
  <c r="C85" i="12"/>
  <c r="O85" i="12"/>
  <c r="AO85" i="12"/>
  <c r="M85" i="12"/>
  <c r="H88" i="6"/>
  <c r="T88" i="5" s="1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C91" i="5" s="1"/>
  <c r="R91" i="5" s="1"/>
  <c r="F90" i="5"/>
  <c r="A90" i="12"/>
  <c r="J90" i="5"/>
  <c r="K90" i="5"/>
  <c r="G90" i="5"/>
  <c r="AD90" i="5"/>
  <c r="AK87" i="6"/>
  <c r="AF87" i="6"/>
  <c r="AH87" i="6"/>
  <c r="AD87" i="6"/>
  <c r="C85" i="6"/>
  <c r="N84" i="12"/>
  <c r="D89" i="6"/>
  <c r="AO88" i="6" l="1"/>
  <c r="W84" i="12"/>
  <c r="U84" i="12" s="1"/>
  <c r="BF88" i="6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E91" i="5"/>
  <c r="A91" i="12"/>
  <c r="N91" i="5"/>
  <c r="G91" i="5"/>
  <c r="C92" i="5"/>
  <c r="R92" i="5" s="1"/>
  <c r="B91" i="6"/>
  <c r="F91" i="5"/>
  <c r="W91" i="5"/>
  <c r="H91" i="12" s="1"/>
  <c r="AE91" i="5"/>
  <c r="H91" i="5"/>
  <c r="AD91" i="5"/>
  <c r="B91" i="5"/>
  <c r="L90" i="12"/>
  <c r="J90" i="12"/>
  <c r="N85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B86" i="5"/>
  <c r="C86" i="6"/>
  <c r="U83" i="12"/>
  <c r="V83" i="12"/>
  <c r="T83" i="12"/>
  <c r="V84" i="12" l="1"/>
  <c r="T84" i="12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X85" i="12"/>
  <c r="W85" i="12"/>
  <c r="A90" i="6"/>
  <c r="AB87" i="5"/>
  <c r="C87" i="12"/>
  <c r="AO87" i="12"/>
  <c r="O87" i="12"/>
  <c r="M87" i="12"/>
  <c r="D91" i="6"/>
  <c r="AM88" i="5"/>
  <c r="I88" i="12"/>
  <c r="L88" i="5"/>
  <c r="Z88" i="5"/>
  <c r="H90" i="6"/>
  <c r="T90" i="5" s="1"/>
  <c r="C87" i="6"/>
  <c r="N86" i="12"/>
  <c r="Y86" i="12"/>
  <c r="K90" i="12"/>
  <c r="F91" i="6"/>
  <c r="E91" i="12"/>
  <c r="C93" i="5"/>
  <c r="H92" i="5"/>
  <c r="B92" i="6"/>
  <c r="B92" i="5"/>
  <c r="G92" i="5"/>
  <c r="F92" i="5"/>
  <c r="E92" i="5"/>
  <c r="A92" i="12"/>
  <c r="AE92" i="5"/>
  <c r="AD92" i="5"/>
  <c r="W92" i="5"/>
  <c r="H92" i="12" s="1"/>
  <c r="N92" i="5"/>
  <c r="G89" i="12"/>
  <c r="X89" i="5"/>
  <c r="M90" i="6" l="1"/>
  <c r="AT90" i="6" s="1"/>
  <c r="N87" i="12"/>
  <c r="D92" i="6"/>
  <c r="E92" i="12"/>
  <c r="F92" i="6"/>
  <c r="G90" i="12"/>
  <c r="X90" i="5"/>
  <c r="AB88" i="5"/>
  <c r="C88" i="6"/>
  <c r="H91" i="6"/>
  <c r="T91" i="5" s="1"/>
  <c r="G91" i="6"/>
  <c r="A91" i="6"/>
  <c r="U85" i="12"/>
  <c r="V85" i="12"/>
  <c r="T85" i="12"/>
  <c r="I89" i="12"/>
  <c r="L89" i="5"/>
  <c r="AM89" i="5"/>
  <c r="Z89" i="5"/>
  <c r="C94" i="5"/>
  <c r="H93" i="5"/>
  <c r="J93" i="5"/>
  <c r="A93" i="12"/>
  <c r="AD93" i="5"/>
  <c r="W93" i="5"/>
  <c r="H93" i="12" s="1"/>
  <c r="B93" i="5"/>
  <c r="E93" i="5"/>
  <c r="K93" i="5"/>
  <c r="B93" i="6"/>
  <c r="N93" i="5"/>
  <c r="F93" i="5"/>
  <c r="D93" i="5"/>
  <c r="B93" i="12" s="1"/>
  <c r="G93" i="5"/>
  <c r="AE93" i="5"/>
  <c r="X86" i="12"/>
  <c r="W86" i="12"/>
  <c r="C88" i="12"/>
  <c r="M88" i="12"/>
  <c r="AO88" i="12"/>
  <c r="O88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M91" i="6"/>
  <c r="BE91" i="6" s="1"/>
  <c r="V86" i="12"/>
  <c r="T86" i="12"/>
  <c r="U86" i="12"/>
  <c r="L93" i="12"/>
  <c r="J93" i="12"/>
  <c r="C89" i="6"/>
  <c r="O89" i="5"/>
  <c r="I90" i="12"/>
  <c r="AM90" i="5"/>
  <c r="L90" i="5"/>
  <c r="Z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H92" i="6"/>
  <c r="T92" i="5" s="1"/>
  <c r="G92" i="6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D94" i="6"/>
  <c r="H93" i="6"/>
  <c r="T93" i="5" s="1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J95" i="5"/>
  <c r="B95" i="5"/>
  <c r="B95" i="6"/>
  <c r="X88" i="12"/>
  <c r="W88" i="12"/>
  <c r="C90" i="6"/>
  <c r="O90" i="5"/>
  <c r="C90" i="12"/>
  <c r="AO90" i="12"/>
  <c r="M90" i="12"/>
  <c r="O90" i="12"/>
  <c r="A94" i="6" l="1"/>
  <c r="M94" i="6" s="1"/>
  <c r="AX94" i="6" s="1"/>
  <c r="BD93" i="6"/>
  <c r="AY93" i="6"/>
  <c r="AR93" i="6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D95" i="6"/>
  <c r="J95" i="12"/>
  <c r="L95" i="12"/>
  <c r="K94" i="12"/>
  <c r="X89" i="12"/>
  <c r="W89" i="12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H96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K95" i="12" l="1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L96" i="12"/>
  <c r="J96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T89" i="12"/>
  <c r="V89" i="12"/>
  <c r="U89" i="12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95" i="6"/>
  <c r="W90" i="12"/>
  <c r="X90" i="12"/>
  <c r="A96" i="6" l="1"/>
  <c r="M96" i="6" s="1"/>
  <c r="T90" i="12"/>
  <c r="U90" i="12"/>
  <c r="V90" i="12"/>
  <c r="C93" i="12"/>
  <c r="O93" i="12"/>
  <c r="AO93" i="12"/>
  <c r="M93" i="12"/>
  <c r="C93" i="6"/>
  <c r="H96" i="6"/>
  <c r="T96" i="5" s="1"/>
  <c r="D97" i="6"/>
  <c r="L97" i="12"/>
  <c r="J97" i="12"/>
  <c r="AB93" i="5"/>
  <c r="I94" i="12"/>
  <c r="AM94" i="5"/>
  <c r="L94" i="5"/>
  <c r="Z94" i="5"/>
  <c r="G95" i="12"/>
  <c r="X95" i="5"/>
  <c r="M95" i="6"/>
  <c r="AI95" i="6" s="1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K96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C94" i="12"/>
  <c r="O94" i="12"/>
  <c r="M94" i="12"/>
  <c r="AO94" i="12"/>
  <c r="L98" i="12"/>
  <c r="J98" i="12"/>
  <c r="D98" i="6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B94" i="5"/>
  <c r="K97" i="12"/>
  <c r="H97" i="6"/>
  <c r="T97" i="5" s="1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N93" i="12"/>
  <c r="W93" i="12" l="1"/>
  <c r="T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C95" i="12"/>
  <c r="M95" i="12"/>
  <c r="O95" i="12"/>
  <c r="AO95" i="12"/>
  <c r="E100" i="5"/>
  <c r="W100" i="5"/>
  <c r="H100" i="12" s="1"/>
  <c r="D100" i="5"/>
  <c r="B100" i="12" s="1"/>
  <c r="B100" i="6"/>
  <c r="B100" i="5"/>
  <c r="C101" i="5" s="1"/>
  <c r="R101" i="5" s="1"/>
  <c r="N100" i="5"/>
  <c r="H100" i="5"/>
  <c r="AD100" i="5"/>
  <c r="J100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C95" i="6"/>
  <c r="H98" i="6"/>
  <c r="T98" i="5" s="1"/>
  <c r="N94" i="12"/>
  <c r="D99" i="6"/>
  <c r="A98" i="6"/>
  <c r="M98" i="6" s="1"/>
  <c r="V93" i="12" l="1"/>
  <c r="U93" i="12"/>
  <c r="X94" i="12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B96" i="5"/>
  <c r="C96" i="6"/>
  <c r="A99" i="6"/>
  <c r="M99" i="6" s="1"/>
  <c r="AM99" i="6" s="1"/>
  <c r="H99" i="6"/>
  <c r="T99" i="5" s="1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B101" i="6"/>
  <c r="B101" i="5"/>
  <c r="A101" i="12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K100" i="12"/>
  <c r="C97" i="12"/>
  <c r="AO97" i="12"/>
  <c r="M97" i="12"/>
  <c r="O97" i="12"/>
  <c r="H100" i="6"/>
  <c r="T100" i="5" s="1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T95" i="12" l="1"/>
  <c r="A101" i="6"/>
  <c r="U95" i="12"/>
  <c r="N97" i="12"/>
  <c r="AU100" i="6"/>
  <c r="AT100" i="6"/>
  <c r="AQ100" i="6"/>
  <c r="AB100" i="6"/>
  <c r="AF100" i="6"/>
  <c r="AI100" i="6"/>
  <c r="BB100" i="6"/>
  <c r="BG100" i="6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D102" i="6"/>
  <c r="L102" i="12"/>
  <c r="J102" i="12"/>
  <c r="G100" i="12"/>
  <c r="X100" i="5"/>
  <c r="Y97" i="12"/>
  <c r="C98" i="6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G101" i="6"/>
  <c r="H101" i="6"/>
  <c r="T101" i="5" s="1"/>
  <c r="W96" i="12"/>
  <c r="X96" i="12"/>
  <c r="M101" i="6" l="1"/>
  <c r="BC101" i="6" s="1"/>
  <c r="Y98" i="12"/>
  <c r="W98" i="12" s="1"/>
  <c r="V96" i="12"/>
  <c r="T96" i="12"/>
  <c r="U96" i="12"/>
  <c r="AB99" i="5"/>
  <c r="C99" i="12"/>
  <c r="AO99" i="12"/>
  <c r="O99" i="12"/>
  <c r="M99" i="12"/>
  <c r="I100" i="12"/>
  <c r="L100" i="5"/>
  <c r="AM100" i="5"/>
  <c r="Z100" i="5"/>
  <c r="K102" i="12"/>
  <c r="H102" i="6"/>
  <c r="T102" i="5" s="1"/>
  <c r="G101" i="12"/>
  <c r="C99" i="6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X97" i="12"/>
  <c r="W97" i="12"/>
  <c r="A102" i="6"/>
  <c r="N98" i="12"/>
  <c r="M102" i="6" l="1"/>
  <c r="AS102" i="6" s="1"/>
  <c r="AQ101" i="6"/>
  <c r="BB101" i="6"/>
  <c r="AC101" i="6"/>
  <c r="AK101" i="6"/>
  <c r="AP101" i="6"/>
  <c r="AG101" i="6"/>
  <c r="AN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K103" i="12"/>
  <c r="N99" i="12"/>
  <c r="U97" i="12"/>
  <c r="T97" i="12"/>
  <c r="V97" i="12"/>
  <c r="H103" i="6"/>
  <c r="T103" i="5" s="1"/>
  <c r="J104" i="12"/>
  <c r="L104" i="12"/>
  <c r="T98" i="12"/>
  <c r="V98" i="12"/>
  <c r="U98" i="12"/>
  <c r="G102" i="12"/>
  <c r="X102" i="5"/>
  <c r="C100" i="6"/>
  <c r="O100" i="5"/>
  <c r="A103" i="6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B105" i="6"/>
  <c r="G105" i="5"/>
  <c r="AD105" i="5"/>
  <c r="H105" i="5"/>
  <c r="B105" i="5"/>
  <c r="AB100" i="5"/>
  <c r="AA100" i="5"/>
  <c r="C100" i="12"/>
  <c r="M100" i="12"/>
  <c r="AO100" i="12"/>
  <c r="O100" i="12"/>
  <c r="Y99" i="12"/>
  <c r="AJ102" i="6" l="1"/>
  <c r="AX102" i="6"/>
  <c r="AU102" i="6"/>
  <c r="AY102" i="6"/>
  <c r="BC102" i="6"/>
  <c r="BE102" i="6"/>
  <c r="BF102" i="6"/>
  <c r="BA102" i="6"/>
  <c r="AR102" i="6"/>
  <c r="AQ102" i="6"/>
  <c r="AE102" i="6"/>
  <c r="M103" i="6"/>
  <c r="BC103" i="6" s="1"/>
  <c r="AV102" i="6"/>
  <c r="BD102" i="6"/>
  <c r="BG102" i="6"/>
  <c r="AF102" i="6"/>
  <c r="AC102" i="6"/>
  <c r="AM102" i="6"/>
  <c r="AB102" i="6"/>
  <c r="AN102" i="6"/>
  <c r="AO102" i="6"/>
  <c r="AG102" i="6"/>
  <c r="AD102" i="6"/>
  <c r="AI102" i="6"/>
  <c r="AP102" i="6"/>
  <c r="AZ102" i="6"/>
  <c r="BB102" i="6"/>
  <c r="AH102" i="6"/>
  <c r="AT102" i="6"/>
  <c r="AK102" i="6"/>
  <c r="N100" i="12"/>
  <c r="Y100" i="12"/>
  <c r="X100" i="12" s="1"/>
  <c r="A104" i="6"/>
  <c r="M104" i="6" s="1"/>
  <c r="X99" i="12"/>
  <c r="W99" i="12"/>
  <c r="D105" i="6"/>
  <c r="E100" i="6"/>
  <c r="D100" i="12"/>
  <c r="L102" i="5"/>
  <c r="AM102" i="5"/>
  <c r="I102" i="12"/>
  <c r="Z102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F106" i="5"/>
  <c r="B106" i="5"/>
  <c r="H104" i="6"/>
  <c r="T104" i="5" s="1"/>
  <c r="K104" i="12"/>
  <c r="AJ103" i="6" l="1"/>
  <c r="AK103" i="6"/>
  <c r="AI103" i="6"/>
  <c r="BA103" i="6"/>
  <c r="AE103" i="6"/>
  <c r="AC103" i="6"/>
  <c r="AS103" i="6"/>
  <c r="AZ103" i="6"/>
  <c r="BE103" i="6"/>
  <c r="AY103" i="6"/>
  <c r="AX103" i="6"/>
  <c r="AO103" i="6"/>
  <c r="AB103" i="6"/>
  <c r="AP103" i="6"/>
  <c r="BG103" i="6"/>
  <c r="AH103" i="6"/>
  <c r="AF103" i="6"/>
  <c r="AN103" i="6"/>
  <c r="AD103" i="6"/>
  <c r="AM103" i="6"/>
  <c r="AQ103" i="6"/>
  <c r="BB103" i="6"/>
  <c r="AU103" i="6"/>
  <c r="AG103" i="6"/>
  <c r="AT103" i="6"/>
  <c r="BF103" i="6"/>
  <c r="BD103" i="6"/>
  <c r="AR103" i="6"/>
  <c r="AV103" i="6"/>
  <c r="W100" i="12"/>
  <c r="U100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G104" i="12"/>
  <c r="X104" i="5"/>
  <c r="AK104" i="6"/>
  <c r="AH104" i="6"/>
  <c r="AJ104" i="6"/>
  <c r="J106" i="12"/>
  <c r="L106" i="12"/>
  <c r="K105" i="12"/>
  <c r="I103" i="12"/>
  <c r="L103" i="5"/>
  <c r="AM103" i="5"/>
  <c r="Z103" i="5"/>
  <c r="AB102" i="5"/>
  <c r="H105" i="6"/>
  <c r="T105" i="5" s="1"/>
  <c r="V99" i="12"/>
  <c r="U99" i="12"/>
  <c r="T99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C108" i="5" s="1"/>
  <c r="R108" i="5" s="1"/>
  <c r="D107" i="5"/>
  <c r="B107" i="12" s="1"/>
  <c r="J107" i="5"/>
  <c r="E107" i="5"/>
  <c r="B107" i="6"/>
  <c r="N107" i="5"/>
  <c r="K107" i="5"/>
  <c r="AD107" i="5"/>
  <c r="AE107" i="5"/>
  <c r="W107" i="5"/>
  <c r="H107" i="12" s="1"/>
  <c r="F107" i="5"/>
  <c r="D106" i="6"/>
  <c r="A105" i="6"/>
  <c r="C102" i="12"/>
  <c r="O102" i="12"/>
  <c r="AO102" i="12"/>
  <c r="M102" i="12"/>
  <c r="C102" i="6"/>
  <c r="T100" i="12" l="1"/>
  <c r="V100" i="12"/>
  <c r="A106" i="6"/>
  <c r="M106" i="6" s="1"/>
  <c r="AU106" i="6" s="1"/>
  <c r="Y102" i="12"/>
  <c r="W102" i="12" s="1"/>
  <c r="H106" i="6"/>
  <c r="T106" i="5" s="1"/>
  <c r="D107" i="6"/>
  <c r="G105" i="12"/>
  <c r="X105" i="5"/>
  <c r="C103" i="12"/>
  <c r="M103" i="12"/>
  <c r="AO103" i="12"/>
  <c r="O103" i="12"/>
  <c r="N102" i="12"/>
  <c r="AE108" i="5"/>
  <c r="G108" i="5"/>
  <c r="C109" i="5"/>
  <c r="H108" i="5"/>
  <c r="AD108" i="5"/>
  <c r="F108" i="5"/>
  <c r="W108" i="5"/>
  <c r="H108" i="12" s="1"/>
  <c r="B108" i="5"/>
  <c r="E108" i="5"/>
  <c r="N108" i="5"/>
  <c r="A108" i="12"/>
  <c r="B108" i="6"/>
  <c r="L107" i="12"/>
  <c r="J107" i="12"/>
  <c r="M105" i="6"/>
  <c r="AF105" i="6" s="1"/>
  <c r="AB103" i="5"/>
  <c r="C103" i="6"/>
  <c r="K106" i="12"/>
  <c r="L104" i="5"/>
  <c r="AM104" i="5"/>
  <c r="I104" i="12"/>
  <c r="Z104" i="5"/>
  <c r="N103" i="12" l="1"/>
  <c r="A107" i="6"/>
  <c r="AQ106" i="6"/>
  <c r="X102" i="12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B104" i="5"/>
  <c r="C104" i="12"/>
  <c r="O104" i="12"/>
  <c r="M104" i="12"/>
  <c r="AO104" i="12"/>
  <c r="C104" i="6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E108" i="12"/>
  <c r="F108" i="6"/>
  <c r="AM105" i="5"/>
  <c r="I105" i="12"/>
  <c r="L105" i="5"/>
  <c r="Z105" i="5"/>
  <c r="H107" i="6"/>
  <c r="T107" i="5" s="1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X103" i="12" l="1"/>
  <c r="Y104" i="12"/>
  <c r="X104" i="12" s="1"/>
  <c r="M107" i="6"/>
  <c r="AT107" i="6" s="1"/>
  <c r="N104" i="12"/>
  <c r="C105" i="12"/>
  <c r="O105" i="12"/>
  <c r="M105" i="12"/>
  <c r="AO105" i="12"/>
  <c r="L109" i="12"/>
  <c r="J109" i="12"/>
  <c r="H108" i="6"/>
  <c r="T108" i="5" s="1"/>
  <c r="G108" i="6"/>
  <c r="AM106" i="5"/>
  <c r="L106" i="5"/>
  <c r="I106" i="12"/>
  <c r="Z106" i="5"/>
  <c r="G107" i="12"/>
  <c r="X107" i="5"/>
  <c r="AB105" i="5"/>
  <c r="C105" i="6"/>
  <c r="V103" i="12"/>
  <c r="U103" i="12"/>
  <c r="T103" i="12"/>
  <c r="D109" i="6"/>
  <c r="N110" i="5"/>
  <c r="K110" i="5"/>
  <c r="AE110" i="5"/>
  <c r="B110" i="5"/>
  <c r="W110" i="5"/>
  <c r="H110" i="12" s="1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W104" i="12" l="1"/>
  <c r="U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D111" i="5"/>
  <c r="B111" i="12" s="1"/>
  <c r="C112" i="5"/>
  <c r="F111" i="5"/>
  <c r="AE111" i="5"/>
  <c r="N111" i="5"/>
  <c r="J110" i="12"/>
  <c r="L110" i="12"/>
  <c r="D110" i="6"/>
  <c r="H109" i="6"/>
  <c r="T109" i="5" s="1"/>
  <c r="AM107" i="5"/>
  <c r="L107" i="5"/>
  <c r="I107" i="12"/>
  <c r="Z107" i="5"/>
  <c r="AB106" i="5"/>
  <c r="C106" i="12"/>
  <c r="M106" i="12"/>
  <c r="O106" i="12"/>
  <c r="AO106" i="12"/>
  <c r="C106" i="6"/>
  <c r="G108" i="12"/>
  <c r="K109" i="12"/>
  <c r="M109" i="6" l="1"/>
  <c r="AV109" i="6" s="1"/>
  <c r="T104" i="12"/>
  <c r="V104" i="12"/>
  <c r="X105" i="12"/>
  <c r="AH108" i="6"/>
  <c r="AI108" i="6"/>
  <c r="AO108" i="6"/>
  <c r="AV108" i="6"/>
  <c r="A110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T105" i="12"/>
  <c r="V105" i="12"/>
  <c r="U105" i="12"/>
  <c r="AB107" i="5"/>
  <c r="C107" i="12"/>
  <c r="AO107" i="12"/>
  <c r="M107" i="12"/>
  <c r="O107" i="12"/>
  <c r="G109" i="12"/>
  <c r="X109" i="5"/>
  <c r="H110" i="6"/>
  <c r="T110" i="5" s="1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Y106" i="12"/>
  <c r="C107" i="6"/>
  <c r="D111" i="6"/>
  <c r="M110" i="6" l="1"/>
  <c r="AY110" i="6" s="1"/>
  <c r="AF109" i="6"/>
  <c r="AE109" i="6"/>
  <c r="AT109" i="6"/>
  <c r="AJ109" i="6"/>
  <c r="AI109" i="6"/>
  <c r="AB109" i="6"/>
  <c r="AK109" i="6"/>
  <c r="BD109" i="6"/>
  <c r="AD109" i="6"/>
  <c r="AP109" i="6"/>
  <c r="AS109" i="6"/>
  <c r="AC109" i="6"/>
  <c r="AH109" i="6"/>
  <c r="BB109" i="6"/>
  <c r="AU109" i="6"/>
  <c r="BF109" i="6"/>
  <c r="BA109" i="6"/>
  <c r="AG109" i="6"/>
  <c r="BG109" i="6"/>
  <c r="BE109" i="6"/>
  <c r="AN109" i="6"/>
  <c r="BC109" i="6"/>
  <c r="AO109" i="6"/>
  <c r="AM109" i="6"/>
  <c r="AR109" i="6"/>
  <c r="AQ109" i="6"/>
  <c r="AY109" i="6"/>
  <c r="AZ109" i="6"/>
  <c r="AX109" i="6"/>
  <c r="H111" i="6"/>
  <c r="T111" i="5" s="1"/>
  <c r="X106" i="12"/>
  <c r="W106" i="12"/>
  <c r="A111" i="6"/>
  <c r="L112" i="12"/>
  <c r="J112" i="12"/>
  <c r="G110" i="12"/>
  <c r="X110" i="5"/>
  <c r="K111" i="12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N107" i="12"/>
  <c r="Y107" i="12"/>
  <c r="BG110" i="6" l="1"/>
  <c r="AM110" i="6"/>
  <c r="BD110" i="6"/>
  <c r="AS110" i="6"/>
  <c r="AC110" i="6"/>
  <c r="AZ110" i="6"/>
  <c r="AK110" i="6"/>
  <c r="BB110" i="6"/>
  <c r="BC110" i="6"/>
  <c r="AP110" i="6"/>
  <c r="AT110" i="6"/>
  <c r="AQ110" i="6"/>
  <c r="AB110" i="6"/>
  <c r="AJ110" i="6"/>
  <c r="AX110" i="6"/>
  <c r="BA110" i="6"/>
  <c r="AE110" i="6"/>
  <c r="AR110" i="6"/>
  <c r="AG110" i="6"/>
  <c r="AU110" i="6"/>
  <c r="BF110" i="6"/>
  <c r="AH110" i="6"/>
  <c r="AF110" i="6"/>
  <c r="AI110" i="6"/>
  <c r="AD110" i="6"/>
  <c r="AO110" i="6"/>
  <c r="BE110" i="6"/>
  <c r="AN110" i="6"/>
  <c r="AV110" i="6"/>
  <c r="W107" i="12"/>
  <c r="X107" i="12"/>
  <c r="D113" i="6"/>
  <c r="H112" i="6"/>
  <c r="T112" i="5" s="1"/>
  <c r="AM110" i="5"/>
  <c r="I110" i="12"/>
  <c r="L110" i="5"/>
  <c r="Z110" i="5"/>
  <c r="K112" i="12"/>
  <c r="U106" i="12"/>
  <c r="T106" i="12"/>
  <c r="V106" i="12"/>
  <c r="G111" i="12"/>
  <c r="X111" i="5"/>
  <c r="AB109" i="5"/>
  <c r="C109" i="6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C115" i="5"/>
  <c r="AD114" i="5"/>
  <c r="G114" i="5"/>
  <c r="D114" i="5"/>
  <c r="B114" i="12" s="1"/>
  <c r="H114" i="5"/>
  <c r="N114" i="5"/>
  <c r="E114" i="5"/>
  <c r="B114" i="5"/>
  <c r="J113" i="12"/>
  <c r="L113" i="12"/>
  <c r="A112" i="6"/>
  <c r="M111" i="6"/>
  <c r="AG111" i="6" s="1"/>
  <c r="A113" i="6" l="1"/>
  <c r="AE111" i="6"/>
  <c r="AH111" i="6"/>
  <c r="AB111" i="6"/>
  <c r="AK111" i="6"/>
  <c r="K113" i="12"/>
  <c r="Y109" i="12"/>
  <c r="X109" i="12" s="1"/>
  <c r="AD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L111" i="5"/>
  <c r="AM111" i="5"/>
  <c r="I111" i="12"/>
  <c r="Z111" i="5"/>
  <c r="C110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AB110" i="5"/>
  <c r="C110" i="12"/>
  <c r="M110" i="12"/>
  <c r="O110" i="12"/>
  <c r="AO110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Y110" i="12"/>
  <c r="W110" i="12" s="1"/>
  <c r="G113" i="12"/>
  <c r="X113" i="5"/>
  <c r="I112" i="12"/>
  <c r="AM112" i="5"/>
  <c r="L112" i="5"/>
  <c r="Z112" i="5"/>
  <c r="AB111" i="5"/>
  <c r="C111" i="12"/>
  <c r="O111" i="12"/>
  <c r="AO111" i="12"/>
  <c r="M111" i="12"/>
  <c r="C111" i="6"/>
  <c r="D115" i="6"/>
  <c r="W116" i="5"/>
  <c r="H116" i="12" s="1"/>
  <c r="AD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N110" i="12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J115" i="12"/>
  <c r="L115" i="12"/>
  <c r="AJ113" i="6" l="1"/>
  <c r="AQ113" i="6"/>
  <c r="AP113" i="6"/>
  <c r="AE113" i="6"/>
  <c r="AG113" i="6"/>
  <c r="AK113" i="6"/>
  <c r="BB113" i="6"/>
  <c r="BD113" i="6"/>
  <c r="AD113" i="6"/>
  <c r="AZ113" i="6"/>
  <c r="AV113" i="6"/>
  <c r="AH113" i="6"/>
  <c r="BG113" i="6"/>
  <c r="AI113" i="6"/>
  <c r="AY113" i="6"/>
  <c r="AT113" i="6"/>
  <c r="AU113" i="6"/>
  <c r="AM113" i="6"/>
  <c r="AF113" i="6"/>
  <c r="AR113" i="6"/>
  <c r="BA113" i="6"/>
  <c r="AS113" i="6"/>
  <c r="AC113" i="6"/>
  <c r="AB113" i="6"/>
  <c r="BC113" i="6"/>
  <c r="BE113" i="6"/>
  <c r="AX113" i="6"/>
  <c r="BF113" i="6"/>
  <c r="AN113" i="6"/>
  <c r="X110" i="12"/>
  <c r="V109" i="12"/>
  <c r="U109" i="12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H115" i="6"/>
  <c r="T115" i="5" s="1"/>
  <c r="AB112" i="5"/>
  <c r="AM113" i="5"/>
  <c r="L113" i="5"/>
  <c r="I113" i="12"/>
  <c r="Z113" i="5"/>
  <c r="A115" i="6"/>
  <c r="K115" i="12"/>
  <c r="G114" i="12"/>
  <c r="X114" i="5"/>
  <c r="J116" i="12"/>
  <c r="L116" i="12"/>
  <c r="N111" i="12"/>
  <c r="U110" i="12"/>
  <c r="T110" i="12"/>
  <c r="V110" i="12"/>
  <c r="C112" i="6"/>
  <c r="C112" i="12"/>
  <c r="AO112" i="12"/>
  <c r="O112" i="12"/>
  <c r="M112" i="12"/>
  <c r="X111" i="12" l="1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B113" i="5"/>
  <c r="C113" i="6"/>
  <c r="V111" i="12"/>
  <c r="T111" i="12"/>
  <c r="U111" i="12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X116" i="5"/>
  <c r="D118" i="6"/>
  <c r="H117" i="6"/>
  <c r="T117" i="5" s="1"/>
  <c r="J118" i="12"/>
  <c r="L118" i="12"/>
  <c r="G119" i="5"/>
  <c r="H119" i="5"/>
  <c r="J119" i="5"/>
  <c r="W119" i="5"/>
  <c r="H119" i="12" s="1"/>
  <c r="F119" i="5"/>
  <c r="AD119" i="5"/>
  <c r="A119" i="12"/>
  <c r="K119" i="5"/>
  <c r="B119" i="6"/>
  <c r="N119" i="5"/>
  <c r="B119" i="5"/>
  <c r="C120" i="5" s="1"/>
  <c r="R120" i="5" s="1"/>
  <c r="E119" i="5"/>
  <c r="AE119" i="5"/>
  <c r="D119" i="5"/>
  <c r="B119" i="12" s="1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AE120" i="5"/>
  <c r="B120" i="5"/>
  <c r="A120" i="12"/>
  <c r="G120" i="5"/>
  <c r="T113" i="12"/>
  <c r="V113" i="12"/>
  <c r="U113" i="12"/>
  <c r="G117" i="12"/>
  <c r="X117" i="5"/>
  <c r="I116" i="12"/>
  <c r="AM116" i="5"/>
  <c r="L116" i="5"/>
  <c r="Z116" i="5"/>
  <c r="AB115" i="5"/>
  <c r="C115" i="6"/>
  <c r="N114" i="12"/>
  <c r="Y114" i="12"/>
  <c r="L119" i="12"/>
  <c r="J119" i="12"/>
  <c r="H118" i="6"/>
  <c r="T118" i="5" s="1"/>
  <c r="A119" i="6" l="1"/>
  <c r="M119" i="6" s="1"/>
  <c r="BB119" i="6" s="1"/>
  <c r="AJ117" i="6"/>
  <c r="AO117" i="6"/>
  <c r="AZ117" i="6"/>
  <c r="BD117" i="6"/>
  <c r="AB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AB116" i="5"/>
  <c r="I117" i="12"/>
  <c r="AM117" i="5"/>
  <c r="L117" i="5"/>
  <c r="Z117" i="5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C116" i="12"/>
  <c r="O116" i="12"/>
  <c r="M116" i="12"/>
  <c r="AO116" i="12"/>
  <c r="E120" i="12"/>
  <c r="F120" i="6"/>
  <c r="B121" i="6"/>
  <c r="K121" i="5"/>
  <c r="N121" i="5"/>
  <c r="E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Y115" i="12"/>
  <c r="A120" i="6" l="1"/>
  <c r="M120" i="6" s="1"/>
  <c r="BE120" i="6" s="1"/>
  <c r="Y116" i="12"/>
  <c r="X116" i="12" s="1"/>
  <c r="AO119" i="6"/>
  <c r="AE119" i="6"/>
  <c r="AR119" i="6"/>
  <c r="AD119" i="6"/>
  <c r="N116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D121" i="6"/>
  <c r="H120" i="6"/>
  <c r="T120" i="5" s="1"/>
  <c r="G120" i="6"/>
  <c r="C117" i="6"/>
  <c r="C117" i="12"/>
  <c r="AO117" i="12"/>
  <c r="M117" i="12"/>
  <c r="O117" i="12"/>
  <c r="A121" i="6" l="1"/>
  <c r="M121" i="6" s="1"/>
  <c r="AP121" i="6" s="1"/>
  <c r="W116" i="12"/>
  <c r="V116" i="12" s="1"/>
  <c r="K121" i="12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H121" i="6"/>
  <c r="T121" i="5" s="1"/>
  <c r="E123" i="5"/>
  <c r="D123" i="5"/>
  <c r="B123" i="12" s="1"/>
  <c r="W123" i="5"/>
  <c r="H123" i="12" s="1"/>
  <c r="AD123" i="5"/>
  <c r="F123" i="5"/>
  <c r="B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T116" i="12"/>
  <c r="Y118" i="12"/>
  <c r="W118" i="12" s="1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H122" i="6"/>
  <c r="T122" i="5" s="1"/>
  <c r="D123" i="6"/>
  <c r="F124" i="5"/>
  <c r="B124" i="6"/>
  <c r="D124" i="5"/>
  <c r="B124" i="12" s="1"/>
  <c r="J124" i="5"/>
  <c r="AD124" i="5"/>
  <c r="K124" i="5"/>
  <c r="A124" i="12"/>
  <c r="H124" i="5"/>
  <c r="E124" i="5"/>
  <c r="C125" i="5"/>
  <c r="G124" i="5"/>
  <c r="B124" i="5"/>
  <c r="AE124" i="5"/>
  <c r="N124" i="5"/>
  <c r="W124" i="5"/>
  <c r="H124" i="12" s="1"/>
  <c r="G121" i="12"/>
  <c r="X121" i="5"/>
  <c r="AE121" i="6"/>
  <c r="AG121" i="6"/>
  <c r="C119" i="12"/>
  <c r="O119" i="12"/>
  <c r="M119" i="12"/>
  <c r="AO119" i="12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X118" i="12" l="1"/>
  <c r="Y119" i="12"/>
  <c r="W119" i="12" s="1"/>
  <c r="N119" i="12"/>
  <c r="A123" i="6"/>
  <c r="M123" i="6" s="1"/>
  <c r="M122" i="6"/>
  <c r="AU122" i="6" s="1"/>
  <c r="L121" i="5"/>
  <c r="I121" i="12"/>
  <c r="AM121" i="5"/>
  <c r="Z121" i="5"/>
  <c r="D124" i="6"/>
  <c r="AE125" i="5"/>
  <c r="E125" i="5"/>
  <c r="B125" i="6"/>
  <c r="N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T118" i="12"/>
  <c r="V118" i="12"/>
  <c r="U118" i="12"/>
  <c r="V117" i="12"/>
  <c r="U117" i="12"/>
  <c r="T117" i="12"/>
  <c r="K123" i="12"/>
  <c r="L124" i="12"/>
  <c r="J124" i="12"/>
  <c r="H123" i="6"/>
  <c r="T123" i="5" s="1"/>
  <c r="G122" i="12"/>
  <c r="X122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J126" i="5"/>
  <c r="D126" i="5"/>
  <c r="B126" i="12" s="1"/>
  <c r="A126" i="12"/>
  <c r="B126" i="6"/>
  <c r="N126" i="5"/>
  <c r="B126" i="5"/>
  <c r="C127" i="5" s="1"/>
  <c r="R127" i="5" s="1"/>
  <c r="K126" i="5"/>
  <c r="W126" i="5"/>
  <c r="H126" i="12" s="1"/>
  <c r="F126" i="5"/>
  <c r="AE126" i="5"/>
  <c r="H126" i="5"/>
  <c r="E126" i="5"/>
  <c r="G126" i="5"/>
  <c r="AD126" i="5"/>
  <c r="D125" i="6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L125" i="12"/>
  <c r="J125" i="12"/>
  <c r="H124" i="6"/>
  <c r="T124" i="5" s="1"/>
  <c r="C121" i="6"/>
  <c r="Y121" i="12" l="1"/>
  <c r="X121" i="12" s="1"/>
  <c r="M124" i="6"/>
  <c r="BF124" i="6" s="1"/>
  <c r="N121" i="12"/>
  <c r="G124" i="12"/>
  <c r="X124" i="5"/>
  <c r="K125" i="12"/>
  <c r="H125" i="6"/>
  <c r="T125" i="5" s="1"/>
  <c r="G127" i="5"/>
  <c r="N127" i="5"/>
  <c r="AE127" i="5"/>
  <c r="H127" i="5"/>
  <c r="B127" i="5"/>
  <c r="C128" i="5"/>
  <c r="AD127" i="5"/>
  <c r="W127" i="5"/>
  <c r="H127" i="12" s="1"/>
  <c r="E127" i="5"/>
  <c r="F127" i="5"/>
  <c r="B127" i="6"/>
  <c r="A127" i="12"/>
  <c r="L123" i="5"/>
  <c r="AM123" i="5"/>
  <c r="I123" i="12"/>
  <c r="Z123" i="5"/>
  <c r="C122" i="6"/>
  <c r="A125" i="6"/>
  <c r="M125" i="6" s="1"/>
  <c r="D126" i="6"/>
  <c r="L126" i="12"/>
  <c r="J126" i="12"/>
  <c r="AB122" i="5"/>
  <c r="C122" i="12"/>
  <c r="M122" i="12"/>
  <c r="AO122" i="12"/>
  <c r="O122" i="12"/>
  <c r="AF124" i="6" l="1"/>
  <c r="BG124" i="6"/>
  <c r="AK124" i="6"/>
  <c r="AM124" i="6"/>
  <c r="W121" i="12"/>
  <c r="U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A126" i="6"/>
  <c r="M126" i="6" s="1"/>
  <c r="F127" i="6"/>
  <c r="E127" i="12"/>
  <c r="D127" i="6"/>
  <c r="L124" i="5"/>
  <c r="I124" i="12"/>
  <c r="AM124" i="5"/>
  <c r="Z124" i="5"/>
  <c r="AB123" i="5"/>
  <c r="C123" i="12"/>
  <c r="O123" i="12"/>
  <c r="AO123" i="12"/>
  <c r="M123" i="12"/>
  <c r="C123" i="6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H128" i="5"/>
  <c r="AE128" i="5"/>
  <c r="F128" i="5"/>
  <c r="G125" i="12"/>
  <c r="X125" i="5"/>
  <c r="AJ125" i="6"/>
  <c r="AK125" i="6"/>
  <c r="V121" i="12" l="1"/>
  <c r="T121" i="12"/>
  <c r="X122" i="12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N123" i="12"/>
  <c r="C124" i="12"/>
  <c r="O124" i="12"/>
  <c r="AO124" i="12"/>
  <c r="M124" i="12"/>
  <c r="G126" i="12"/>
  <c r="X126" i="5"/>
  <c r="I125" i="12"/>
  <c r="L125" i="5"/>
  <c r="AM125" i="5"/>
  <c r="Z125" i="5"/>
  <c r="AD129" i="5"/>
  <c r="B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B124" i="5"/>
  <c r="C124" i="6"/>
  <c r="G127" i="6"/>
  <c r="H127" i="6"/>
  <c r="T127" i="5" s="1"/>
  <c r="AH126" i="6"/>
  <c r="AJ126" i="6"/>
  <c r="AC126" i="6"/>
  <c r="AD126" i="6"/>
  <c r="T122" i="12"/>
  <c r="V122" i="12"/>
  <c r="U122" i="12"/>
  <c r="AJ127" i="6" l="1"/>
  <c r="AZ127" i="6"/>
  <c r="A128" i="6"/>
  <c r="M128" i="6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X123" i="12"/>
  <c r="W123" i="12"/>
  <c r="D129" i="6"/>
  <c r="C125" i="12"/>
  <c r="M125" i="12"/>
  <c r="AO125" i="12"/>
  <c r="O125" i="12"/>
  <c r="K128" i="12"/>
  <c r="BF127" i="6"/>
  <c r="AX127" i="6"/>
  <c r="AK127" i="6"/>
  <c r="G127" i="12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C131" i="5"/>
  <c r="W130" i="5"/>
  <c r="H130" i="12" s="1"/>
  <c r="H130" i="5"/>
  <c r="B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N124" i="12"/>
  <c r="H128" i="6"/>
  <c r="T128" i="5" s="1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N131" i="5"/>
  <c r="C132" i="5"/>
  <c r="AE131" i="5"/>
  <c r="W131" i="5"/>
  <c r="H131" i="12" s="1"/>
  <c r="H131" i="5"/>
  <c r="E131" i="5"/>
  <c r="B131" i="6"/>
  <c r="K131" i="5"/>
  <c r="D131" i="5"/>
  <c r="B131" i="12" s="1"/>
  <c r="AD131" i="5"/>
  <c r="B131" i="5"/>
  <c r="G131" i="5"/>
  <c r="J131" i="5"/>
  <c r="A131" i="12"/>
  <c r="F131" i="5"/>
  <c r="D130" i="6"/>
  <c r="U123" i="12"/>
  <c r="V123" i="12"/>
  <c r="T123" i="12"/>
  <c r="W125" i="12" l="1"/>
  <c r="U125" i="12" s="1"/>
  <c r="N126" i="12"/>
  <c r="M129" i="6"/>
  <c r="AJ129" i="6" s="1"/>
  <c r="H130" i="6"/>
  <c r="T130" i="5" s="1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J132" i="5"/>
  <c r="K130" i="12"/>
  <c r="G129" i="12"/>
  <c r="X129" i="5"/>
  <c r="A130" i="6"/>
  <c r="I128" i="12"/>
  <c r="AM128" i="5"/>
  <c r="L128" i="5"/>
  <c r="Z128" i="5"/>
  <c r="D131" i="6"/>
  <c r="Y126" i="12"/>
  <c r="E126" i="6"/>
  <c r="D126" i="12"/>
  <c r="T125" i="12" l="1"/>
  <c r="V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BB129" i="6"/>
  <c r="BA129" i="6"/>
  <c r="AH129" i="6"/>
  <c r="BG129" i="6"/>
  <c r="AF129" i="6"/>
  <c r="X126" i="12"/>
  <c r="W126" i="12"/>
  <c r="AB128" i="5"/>
  <c r="C128" i="6"/>
  <c r="C128" i="12"/>
  <c r="M128" i="12"/>
  <c r="O128" i="12"/>
  <c r="AO128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H131" i="6"/>
  <c r="T131" i="5" s="1"/>
  <c r="L129" i="5"/>
  <c r="AM129" i="5"/>
  <c r="I129" i="12"/>
  <c r="Z129" i="5"/>
  <c r="K131" i="12"/>
  <c r="M130" i="6"/>
  <c r="G130" i="12"/>
  <c r="X130" i="5"/>
  <c r="AP131" i="6" l="1"/>
  <c r="BD131" i="6"/>
  <c r="A132" i="6"/>
  <c r="M132" i="6" s="1"/>
  <c r="BC132" i="6" s="1"/>
  <c r="BB131" i="6"/>
  <c r="AZ131" i="6"/>
  <c r="AO131" i="6"/>
  <c r="AT131" i="6"/>
  <c r="AM131" i="6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B129" i="5"/>
  <c r="C129" i="12"/>
  <c r="M129" i="12"/>
  <c r="O129" i="12"/>
  <c r="AO129" i="12"/>
  <c r="C129" i="6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K132" i="12"/>
  <c r="N128" i="12"/>
  <c r="X128" i="12" l="1"/>
  <c r="A133" i="6"/>
  <c r="M133" i="6" s="1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C136" i="5"/>
  <c r="E135" i="5"/>
  <c r="A135" i="12"/>
  <c r="K135" i="5"/>
  <c r="J134" i="12"/>
  <c r="L134" i="12"/>
  <c r="AB130" i="5"/>
  <c r="C130" i="12"/>
  <c r="M130" i="12"/>
  <c r="AO130" i="12"/>
  <c r="O130" i="12"/>
  <c r="C130" i="6"/>
  <c r="T128" i="12"/>
  <c r="U128" i="12"/>
  <c r="V128" i="12"/>
  <c r="I131" i="12"/>
  <c r="L131" i="5"/>
  <c r="AM131" i="5"/>
  <c r="Z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Y129" i="12"/>
  <c r="A134" i="6" l="1"/>
  <c r="M134" i="6" s="1"/>
  <c r="AV134" i="6" s="1"/>
  <c r="N130" i="12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B131" i="5"/>
  <c r="C131" i="6"/>
  <c r="L135" i="12"/>
  <c r="J135" i="12"/>
  <c r="H134" i="6"/>
  <c r="T134" i="5" s="1"/>
  <c r="C131" i="12"/>
  <c r="AO131" i="12"/>
  <c r="O131" i="12"/>
  <c r="M131" i="12"/>
  <c r="B136" i="5"/>
  <c r="K136" i="5"/>
  <c r="W136" i="5"/>
  <c r="H136" i="12" s="1"/>
  <c r="D136" i="5"/>
  <c r="B136" i="12" s="1"/>
  <c r="J136" i="5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N137" i="5"/>
  <c r="AD137" i="5"/>
  <c r="E137" i="5"/>
  <c r="C138" i="5"/>
  <c r="AE137" i="5"/>
  <c r="F137" i="5"/>
  <c r="K137" i="5"/>
  <c r="A135" i="6"/>
  <c r="I133" i="12"/>
  <c r="AM133" i="5"/>
  <c r="L133" i="5"/>
  <c r="Z133" i="5"/>
  <c r="D136" i="6"/>
  <c r="J136" i="12"/>
  <c r="L136" i="12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C132" i="12"/>
  <c r="M132" i="12"/>
  <c r="AO132" i="12"/>
  <c r="O132" i="12"/>
  <c r="C132" i="6"/>
  <c r="U129" i="12"/>
  <c r="T129" i="12"/>
  <c r="V129" i="12"/>
  <c r="W131" i="12" l="1"/>
  <c r="T131" i="12" s="1"/>
  <c r="N132" i="12"/>
  <c r="A136" i="6"/>
  <c r="Y132" i="12"/>
  <c r="W132" i="12" s="1"/>
  <c r="K136" i="12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V131" i="12" l="1"/>
  <c r="U131" i="12"/>
  <c r="M136" i="6"/>
  <c r="AU136" i="6" s="1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B134" i="5"/>
  <c r="C134" i="12"/>
  <c r="O134" i="12"/>
  <c r="AO134" i="12"/>
  <c r="M134" i="12"/>
  <c r="G136" i="12"/>
  <c r="X136" i="5"/>
  <c r="U132" i="12"/>
  <c r="V132" i="12"/>
  <c r="T132" i="12"/>
  <c r="AE135" i="6"/>
  <c r="K137" i="12"/>
  <c r="H137" i="6"/>
  <c r="T137" i="5" s="1"/>
  <c r="C134" i="6"/>
  <c r="A137" i="6"/>
  <c r="D138" i="6"/>
  <c r="AE139" i="5"/>
  <c r="B139" i="6"/>
  <c r="F139" i="5"/>
  <c r="AD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N133" i="12"/>
  <c r="AK136" i="6" l="1"/>
  <c r="AB136" i="6"/>
  <c r="BC136" i="6"/>
  <c r="AM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H138" i="6"/>
  <c r="T138" i="5" s="1"/>
  <c r="G137" i="12"/>
  <c r="X137" i="5"/>
  <c r="AM136" i="5"/>
  <c r="I136" i="12"/>
  <c r="L136" i="5"/>
  <c r="Z136" i="5"/>
  <c r="Y134" i="12"/>
  <c r="AB135" i="5"/>
  <c r="C135" i="6"/>
  <c r="T133" i="12" l="1"/>
  <c r="Y135" i="12"/>
  <c r="W135" i="12" s="1"/>
  <c r="U133" i="12"/>
  <c r="M138" i="6"/>
  <c r="AP138" i="6" s="1"/>
  <c r="K139" i="12"/>
  <c r="A139" i="6"/>
  <c r="X134" i="12"/>
  <c r="W134" i="12"/>
  <c r="C136" i="6"/>
  <c r="B141" i="6"/>
  <c r="C142" i="5"/>
  <c r="K141" i="5"/>
  <c r="G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J140" i="12"/>
  <c r="L140" i="12"/>
  <c r="AB136" i="5"/>
  <c r="C136" i="12"/>
  <c r="O136" i="12"/>
  <c r="M136" i="12"/>
  <c r="AO136" i="12"/>
  <c r="AM137" i="5"/>
  <c r="I137" i="12"/>
  <c r="L137" i="5"/>
  <c r="Z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H139" i="6"/>
  <c r="T139" i="5" s="1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G139" i="12"/>
  <c r="X139" i="5"/>
  <c r="V135" i="12"/>
  <c r="T135" i="12"/>
  <c r="U135" i="12"/>
  <c r="L138" i="5"/>
  <c r="I138" i="12"/>
  <c r="AM138" i="5"/>
  <c r="Z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F142" i="5"/>
  <c r="B142" i="5"/>
  <c r="C143" i="5" s="1"/>
  <c r="R143" i="5" s="1"/>
  <c r="W142" i="5"/>
  <c r="H142" i="12" s="1"/>
  <c r="A142" i="12"/>
  <c r="G142" i="5"/>
  <c r="AE142" i="5"/>
  <c r="J142" i="5"/>
  <c r="E142" i="5"/>
  <c r="U134" i="12"/>
  <c r="V134" i="12"/>
  <c r="T134" i="12"/>
  <c r="H140" i="6"/>
  <c r="T140" i="5" s="1"/>
  <c r="AB137" i="5"/>
  <c r="C137" i="6"/>
  <c r="A140" i="6"/>
  <c r="D141" i="6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K141" i="12"/>
  <c r="Y137" i="12"/>
  <c r="W137" i="12" s="1"/>
  <c r="H141" i="6"/>
  <c r="T141" i="5" s="1"/>
  <c r="G140" i="12"/>
  <c r="X140" i="5"/>
  <c r="L142" i="12"/>
  <c r="J142" i="12"/>
  <c r="AB138" i="5"/>
  <c r="C138" i="6"/>
  <c r="AM139" i="5"/>
  <c r="L139" i="5"/>
  <c r="I139" i="12"/>
  <c r="Z139" i="5"/>
  <c r="M140" i="6"/>
  <c r="N143" i="5"/>
  <c r="B143" i="5"/>
  <c r="A143" i="12"/>
  <c r="E143" i="5"/>
  <c r="AD143" i="5"/>
  <c r="G143" i="5"/>
  <c r="C144" i="5"/>
  <c r="H143" i="5"/>
  <c r="B143" i="6"/>
  <c r="AE143" i="5"/>
  <c r="W143" i="5"/>
  <c r="H143" i="12" s="1"/>
  <c r="F143" i="5"/>
  <c r="D142" i="6"/>
  <c r="N137" i="12"/>
  <c r="C138" i="12"/>
  <c r="M138" i="12"/>
  <c r="O138" i="12"/>
  <c r="AO138" i="12"/>
  <c r="T136" i="12" l="1"/>
  <c r="U136" i="12"/>
  <c r="X137" i="12"/>
  <c r="M141" i="6"/>
  <c r="AU141" i="6" s="1"/>
  <c r="A142" i="6"/>
  <c r="N138" i="12"/>
  <c r="AE144" i="5"/>
  <c r="C145" i="5"/>
  <c r="E144" i="5"/>
  <c r="W144" i="5"/>
  <c r="H144" i="12" s="1"/>
  <c r="A144" i="12"/>
  <c r="G144" i="5"/>
  <c r="AD144" i="5"/>
  <c r="B144" i="5"/>
  <c r="N144" i="5"/>
  <c r="B144" i="6"/>
  <c r="F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B139" i="5"/>
  <c r="C139" i="6"/>
  <c r="V137" i="12"/>
  <c r="T137" i="12"/>
  <c r="U137" i="12"/>
  <c r="I140" i="12"/>
  <c r="AM140" i="5"/>
  <c r="L140" i="5"/>
  <c r="Z140" i="5"/>
  <c r="Y138" i="12"/>
  <c r="H142" i="6"/>
  <c r="T142" i="5" s="1"/>
  <c r="AD140" i="6"/>
  <c r="AG140" i="6"/>
  <c r="AC140" i="6"/>
  <c r="C139" i="12"/>
  <c r="O139" i="12"/>
  <c r="AO139" i="12"/>
  <c r="M139" i="12"/>
  <c r="K142" i="12"/>
  <c r="G141" i="12"/>
  <c r="X141" i="5"/>
  <c r="AI141" i="6" l="1"/>
  <c r="M142" i="6"/>
  <c r="AQ142" i="6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N139" i="12"/>
  <c r="G142" i="12"/>
  <c r="X142" i="5"/>
  <c r="G143" i="6"/>
  <c r="H143" i="6"/>
  <c r="T143" i="5" s="1"/>
  <c r="D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C146" i="5"/>
  <c r="B145" i="5"/>
  <c r="K145" i="5"/>
  <c r="AD145" i="5"/>
  <c r="L141" i="5"/>
  <c r="I141" i="12"/>
  <c r="AM141" i="5"/>
  <c r="Z141" i="5"/>
  <c r="Y139" i="12"/>
  <c r="W138" i="12"/>
  <c r="X138" i="12"/>
  <c r="AB140" i="5"/>
  <c r="C140" i="6"/>
  <c r="C140" i="12"/>
  <c r="O140" i="12"/>
  <c r="M140" i="12"/>
  <c r="AO140" i="12"/>
  <c r="BE142" i="6" l="1"/>
  <c r="AF142" i="6"/>
  <c r="AB142" i="6"/>
  <c r="AH142" i="6"/>
  <c r="BF142" i="6"/>
  <c r="AK142" i="6"/>
  <c r="AO142" i="6"/>
  <c r="AG142" i="6"/>
  <c r="AM142" i="6"/>
  <c r="AU142" i="6"/>
  <c r="AX142" i="6"/>
  <c r="AV142" i="6"/>
  <c r="AD142" i="6"/>
  <c r="BD142" i="6"/>
  <c r="BB142" i="6"/>
  <c r="AT142" i="6"/>
  <c r="BC142" i="6"/>
  <c r="AE142" i="6"/>
  <c r="AY142" i="6"/>
  <c r="AS142" i="6"/>
  <c r="AZ142" i="6"/>
  <c r="AI142" i="6"/>
  <c r="AC142" i="6"/>
  <c r="BA142" i="6"/>
  <c r="AP142" i="6"/>
  <c r="BG142" i="6"/>
  <c r="AJ142" i="6"/>
  <c r="AR142" i="6"/>
  <c r="AN142" i="6"/>
  <c r="Y140" i="12"/>
  <c r="X140" i="12" s="1"/>
  <c r="M143" i="6"/>
  <c r="BD143" i="6" s="1"/>
  <c r="A144" i="6"/>
  <c r="V138" i="12"/>
  <c r="U138" i="12"/>
  <c r="T138" i="12"/>
  <c r="C141" i="12"/>
  <c r="AO141" i="12"/>
  <c r="M141" i="12"/>
  <c r="O141" i="12"/>
  <c r="H144" i="6"/>
  <c r="T144" i="5" s="1"/>
  <c r="N140" i="12"/>
  <c r="X139" i="12"/>
  <c r="W139" i="12"/>
  <c r="AB141" i="5"/>
  <c r="C141" i="6"/>
  <c r="B146" i="6"/>
  <c r="W146" i="5"/>
  <c r="H146" i="12" s="1"/>
  <c r="J146" i="5"/>
  <c r="C147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G143" i="12"/>
  <c r="AM142" i="5"/>
  <c r="L142" i="5"/>
  <c r="I142" i="12"/>
  <c r="Z142" i="5"/>
  <c r="M144" i="6" l="1"/>
  <c r="AZ144" i="6" s="1"/>
  <c r="BF143" i="6"/>
  <c r="AF143" i="6"/>
  <c r="AJ143" i="6"/>
  <c r="BB143" i="6"/>
  <c r="BA143" i="6"/>
  <c r="W140" i="12"/>
  <c r="U140" i="12" s="1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D146" i="6"/>
  <c r="W147" i="5"/>
  <c r="H147" i="12" s="1"/>
  <c r="B147" i="5"/>
  <c r="C148" i="5" s="1"/>
  <c r="R148" i="5" s="1"/>
  <c r="F147" i="5"/>
  <c r="D147" i="5"/>
  <c r="B147" i="12" s="1"/>
  <c r="AE147" i="5"/>
  <c r="J147" i="5"/>
  <c r="AD147" i="5"/>
  <c r="N147" i="5"/>
  <c r="G147" i="5"/>
  <c r="E147" i="5"/>
  <c r="A147" i="12"/>
  <c r="B147" i="6"/>
  <c r="H147" i="5"/>
  <c r="K147" i="5"/>
  <c r="V139" i="12"/>
  <c r="U139" i="12"/>
  <c r="T139" i="12"/>
  <c r="AA142" i="5"/>
  <c r="AB142" i="5"/>
  <c r="C142" i="12"/>
  <c r="M142" i="12"/>
  <c r="O142" i="12"/>
  <c r="AO142" i="12"/>
  <c r="K145" i="12"/>
  <c r="H145" i="6"/>
  <c r="T145" i="5" s="1"/>
  <c r="A145" i="6"/>
  <c r="L146" i="12"/>
  <c r="J146" i="12"/>
  <c r="G144" i="12"/>
  <c r="N141" i="12"/>
  <c r="Y141" i="12"/>
  <c r="AQ144" i="6" l="1"/>
  <c r="BD144" i="6"/>
  <c r="BE144" i="6"/>
  <c r="AM144" i="6"/>
  <c r="BG144" i="6"/>
  <c r="AU144" i="6"/>
  <c r="AO144" i="6"/>
  <c r="AR144" i="6"/>
  <c r="AI144" i="6"/>
  <c r="AT144" i="6"/>
  <c r="AY144" i="6"/>
  <c r="AG144" i="6"/>
  <c r="AD144" i="6"/>
  <c r="BF144" i="6"/>
  <c r="AC144" i="6"/>
  <c r="AS144" i="6"/>
  <c r="AN144" i="6"/>
  <c r="AE144" i="6"/>
  <c r="AV144" i="6"/>
  <c r="AH144" i="6"/>
  <c r="BC144" i="6"/>
  <c r="AF144" i="6"/>
  <c r="BA144" i="6"/>
  <c r="AK144" i="6"/>
  <c r="AP144" i="6"/>
  <c r="AX144" i="6"/>
  <c r="BB144" i="6"/>
  <c r="AB144" i="6"/>
  <c r="AJ144" i="6"/>
  <c r="T140" i="12"/>
  <c r="V140" i="12"/>
  <c r="A146" i="6"/>
  <c r="N142" i="12"/>
  <c r="M145" i="6"/>
  <c r="AC145" i="6" s="1"/>
  <c r="W141" i="12"/>
  <c r="X141" i="12"/>
  <c r="K146" i="12"/>
  <c r="G145" i="12"/>
  <c r="X145" i="5"/>
  <c r="B148" i="5"/>
  <c r="B148" i="6"/>
  <c r="C149" i="5"/>
  <c r="R149" i="5" s="1"/>
  <c r="H148" i="5"/>
  <c r="N148" i="5"/>
  <c r="E148" i="5"/>
  <c r="AD148" i="5"/>
  <c r="A148" i="12"/>
  <c r="W148" i="5"/>
  <c r="H148" i="12" s="1"/>
  <c r="F148" i="5"/>
  <c r="G148" i="5"/>
  <c r="AE148" i="5"/>
  <c r="E142" i="6"/>
  <c r="D142" i="12"/>
  <c r="Y142" i="12"/>
  <c r="L147" i="12"/>
  <c r="J147" i="12"/>
  <c r="D147" i="6"/>
  <c r="H146" i="6"/>
  <c r="T146" i="5" s="1"/>
  <c r="M146" i="6" l="1"/>
  <c r="AZ146" i="6" s="1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K147" i="12"/>
  <c r="BE145" i="6"/>
  <c r="AM145" i="6"/>
  <c r="AH145" i="6"/>
  <c r="AD145" i="6"/>
  <c r="AV145" i="6"/>
  <c r="AE145" i="6"/>
  <c r="AN145" i="6"/>
  <c r="AB145" i="6"/>
  <c r="AO145" i="6"/>
  <c r="AY145" i="6"/>
  <c r="AI145" i="6"/>
  <c r="AG145" i="6"/>
  <c r="E148" i="12"/>
  <c r="F148" i="6"/>
  <c r="W149" i="5"/>
  <c r="H149" i="12" s="1"/>
  <c r="A149" i="12"/>
  <c r="B149" i="6"/>
  <c r="AD149" i="5"/>
  <c r="F149" i="5"/>
  <c r="G149" i="5"/>
  <c r="E149" i="5"/>
  <c r="H149" i="5"/>
  <c r="C150" i="5"/>
  <c r="B149" i="5"/>
  <c r="AE149" i="5"/>
  <c r="N149" i="5"/>
  <c r="G146" i="12"/>
  <c r="X146" i="5"/>
  <c r="H147" i="6"/>
  <c r="T147" i="5" s="1"/>
  <c r="X142" i="12"/>
  <c r="W142" i="12"/>
  <c r="D148" i="6"/>
  <c r="A147" i="6"/>
  <c r="I145" i="12"/>
  <c r="AM145" i="5"/>
  <c r="L145" i="5"/>
  <c r="Z145" i="5"/>
  <c r="U141" i="12"/>
  <c r="T141" i="12"/>
  <c r="V141" i="12"/>
  <c r="BB146" i="6" l="1"/>
  <c r="AR146" i="6"/>
  <c r="AJ146" i="6"/>
  <c r="AE146" i="6"/>
  <c r="AM146" i="6"/>
  <c r="AT146" i="6"/>
  <c r="AS146" i="6"/>
  <c r="BC146" i="6"/>
  <c r="AK146" i="6"/>
  <c r="BG146" i="6"/>
  <c r="AB146" i="6"/>
  <c r="AF146" i="6"/>
  <c r="AP146" i="6"/>
  <c r="BA146" i="6"/>
  <c r="AO146" i="6"/>
  <c r="AC146" i="6"/>
  <c r="AG146" i="6"/>
  <c r="AX146" i="6"/>
  <c r="BD146" i="6"/>
  <c r="AI146" i="6"/>
  <c r="AY146" i="6"/>
  <c r="AV146" i="6"/>
  <c r="AD146" i="6"/>
  <c r="AH146" i="6"/>
  <c r="BF146" i="6"/>
  <c r="AN146" i="6"/>
  <c r="AU146" i="6"/>
  <c r="AQ146" i="6"/>
  <c r="BE146" i="6"/>
  <c r="A148" i="6"/>
  <c r="M147" i="6"/>
  <c r="AI147" i="6" s="1"/>
  <c r="AB145" i="5"/>
  <c r="C145" i="6"/>
  <c r="C145" i="12"/>
  <c r="O145" i="12"/>
  <c r="AO145" i="12"/>
  <c r="M145" i="12"/>
  <c r="U142" i="12"/>
  <c r="T142" i="12"/>
  <c r="V142" i="12"/>
  <c r="L146" i="5"/>
  <c r="I146" i="12"/>
  <c r="AM146" i="5"/>
  <c r="Z146" i="5"/>
  <c r="D149" i="6"/>
  <c r="F149" i="6"/>
  <c r="E149" i="12"/>
  <c r="B150" i="6"/>
  <c r="B150" i="5"/>
  <c r="K150" i="5"/>
  <c r="A150" i="12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H148" i="6"/>
  <c r="T148" i="5" s="1"/>
  <c r="G148" i="6"/>
  <c r="G147" i="12"/>
  <c r="X147" i="5"/>
  <c r="M148" i="6" l="1"/>
  <c r="AI148" i="6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AD151" i="5"/>
  <c r="A151" i="12"/>
  <c r="K151" i="5"/>
  <c r="G149" i="6"/>
  <c r="H149" i="6"/>
  <c r="T149" i="5" s="1"/>
  <c r="C146" i="6"/>
  <c r="N145" i="12"/>
  <c r="A149" i="6"/>
  <c r="G148" i="12"/>
  <c r="D150" i="6"/>
  <c r="L150" i="12"/>
  <c r="J150" i="12"/>
  <c r="AB146" i="5"/>
  <c r="C146" i="12"/>
  <c r="AO146" i="12"/>
  <c r="M146" i="12"/>
  <c r="O146" i="12"/>
  <c r="Y145" i="12"/>
  <c r="AN148" i="6" l="1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M149" i="6"/>
  <c r="AH149" i="6" s="1"/>
  <c r="A150" i="6"/>
  <c r="J151" i="12"/>
  <c r="L151" i="12"/>
  <c r="D151" i="6"/>
  <c r="AB147" i="5"/>
  <c r="AA147" i="5"/>
  <c r="C147" i="6"/>
  <c r="O147" i="5"/>
  <c r="N146" i="12"/>
  <c r="Y146" i="12"/>
  <c r="K150" i="12"/>
  <c r="H150" i="6"/>
  <c r="T150" i="5" s="1"/>
  <c r="G149" i="12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AE152" i="5"/>
  <c r="J152" i="5"/>
  <c r="B152" i="6"/>
  <c r="A152" i="12"/>
  <c r="C147" i="12"/>
  <c r="M147" i="12"/>
  <c r="O147" i="12"/>
  <c r="AO147" i="12"/>
  <c r="M150" i="6" l="1"/>
  <c r="AZ150" i="6" s="1"/>
  <c r="AD149" i="6"/>
  <c r="AG149" i="6"/>
  <c r="K151" i="12"/>
  <c r="A151" i="6"/>
  <c r="Y147" i="12"/>
  <c r="W147" i="12" s="1"/>
  <c r="J152" i="12"/>
  <c r="L152" i="12"/>
  <c r="D152" i="6"/>
  <c r="H153" i="5"/>
  <c r="N153" i="5"/>
  <c r="D153" i="5"/>
  <c r="B153" i="12" s="1"/>
  <c r="B153" i="6"/>
  <c r="E153" i="5"/>
  <c r="K153" i="5"/>
  <c r="F153" i="5"/>
  <c r="B153" i="5"/>
  <c r="G153" i="5"/>
  <c r="W153" i="5"/>
  <c r="H153" i="12" s="1"/>
  <c r="AE153" i="5"/>
  <c r="AD153" i="5"/>
  <c r="C154" i="5"/>
  <c r="J153" i="5"/>
  <c r="A153" i="12"/>
  <c r="H151" i="6"/>
  <c r="T151" i="5" s="1"/>
  <c r="U145" i="12"/>
  <c r="V145" i="12"/>
  <c r="T145" i="12"/>
  <c r="N147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M151" i="6" l="1"/>
  <c r="BE151" i="6" s="1"/>
  <c r="BF150" i="6"/>
  <c r="BA150" i="6"/>
  <c r="AG150" i="6"/>
  <c r="AX150" i="6"/>
  <c r="AF150" i="6"/>
  <c r="BE150" i="6"/>
  <c r="AT150" i="6"/>
  <c r="AU150" i="6"/>
  <c r="AM150" i="6"/>
  <c r="AN150" i="6"/>
  <c r="AJ150" i="6"/>
  <c r="AY150" i="6"/>
  <c r="AP150" i="6"/>
  <c r="AS150" i="6"/>
  <c r="BC150" i="6"/>
  <c r="AE150" i="6"/>
  <c r="BD150" i="6"/>
  <c r="BB150" i="6"/>
  <c r="AC150" i="6"/>
  <c r="BG150" i="6"/>
  <c r="AK150" i="6"/>
  <c r="AD150" i="6"/>
  <c r="AB150" i="6"/>
  <c r="AI150" i="6"/>
  <c r="AH150" i="6"/>
  <c r="AV150" i="6"/>
  <c r="AR150" i="6"/>
  <c r="AO150" i="6"/>
  <c r="AQ150" i="6"/>
  <c r="X147" i="12"/>
  <c r="A152" i="6"/>
  <c r="M152" i="6" s="1"/>
  <c r="K152" i="12"/>
  <c r="U146" i="12"/>
  <c r="T146" i="12"/>
  <c r="V146" i="12"/>
  <c r="G151" i="12"/>
  <c r="X151" i="5"/>
  <c r="L153" i="12"/>
  <c r="J153" i="12"/>
  <c r="AE154" i="5"/>
  <c r="B154" i="6"/>
  <c r="AD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H152" i="6"/>
  <c r="T152" i="5" s="1"/>
  <c r="L150" i="5"/>
  <c r="AM150" i="5"/>
  <c r="I150" i="12"/>
  <c r="Z150" i="5"/>
  <c r="D153" i="6"/>
  <c r="U147" i="12"/>
  <c r="T147" i="12"/>
  <c r="V147" i="12"/>
  <c r="AF151" i="6" l="1"/>
  <c r="AH151" i="6"/>
  <c r="AC151" i="6"/>
  <c r="BG151" i="6"/>
  <c r="AP151" i="6"/>
  <c r="BA151" i="6"/>
  <c r="AN151" i="6"/>
  <c r="AB151" i="6"/>
  <c r="AU151" i="6"/>
  <c r="AO151" i="6"/>
  <c r="BC151" i="6"/>
  <c r="AX151" i="6"/>
  <c r="BB151" i="6"/>
  <c r="AK151" i="6"/>
  <c r="AT151" i="6"/>
  <c r="AE151" i="6"/>
  <c r="AV151" i="6"/>
  <c r="AI151" i="6"/>
  <c r="AR151" i="6"/>
  <c r="AS151" i="6"/>
  <c r="AM151" i="6"/>
  <c r="BF151" i="6"/>
  <c r="AY151" i="6"/>
  <c r="AD151" i="6"/>
  <c r="AG151" i="6"/>
  <c r="AJ151" i="6"/>
  <c r="AQ151" i="6"/>
  <c r="BD151" i="6"/>
  <c r="AZ151" i="6"/>
  <c r="AM152" i="6"/>
  <c r="AP152" i="6"/>
  <c r="BE152" i="6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AB150" i="5"/>
  <c r="C150" i="12"/>
  <c r="O150" i="12"/>
  <c r="M150" i="12"/>
  <c r="AO150" i="12"/>
  <c r="C150" i="6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D154" i="6"/>
  <c r="AM151" i="5"/>
  <c r="I151" i="12"/>
  <c r="L151" i="5"/>
  <c r="Z151" i="5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K153" i="12"/>
  <c r="Y150" i="12" l="1"/>
  <c r="W150" i="12" s="1"/>
  <c r="K154" i="12"/>
  <c r="M153" i="6"/>
  <c r="AX153" i="6" s="1"/>
  <c r="N150" i="12"/>
  <c r="AB151" i="5"/>
  <c r="C151" i="12"/>
  <c r="M151" i="12"/>
  <c r="AO151" i="12"/>
  <c r="O151" i="12"/>
  <c r="H154" i="6"/>
  <c r="T154" i="5" s="1"/>
  <c r="K156" i="5"/>
  <c r="H156" i="5"/>
  <c r="F156" i="5"/>
  <c r="G156" i="5"/>
  <c r="AE156" i="5"/>
  <c r="E156" i="5"/>
  <c r="B156" i="5"/>
  <c r="N156" i="5"/>
  <c r="D156" i="5"/>
  <c r="B156" i="12" s="1"/>
  <c r="W156" i="5"/>
  <c r="H156" i="12" s="1"/>
  <c r="J156" i="5"/>
  <c r="C157" i="5"/>
  <c r="B156" i="6"/>
  <c r="A156" i="12"/>
  <c r="AD156" i="5"/>
  <c r="D155" i="6"/>
  <c r="A154" i="6"/>
  <c r="I152" i="12"/>
  <c r="L152" i="5"/>
  <c r="AM152" i="5"/>
  <c r="Z152" i="5"/>
  <c r="C151" i="6"/>
  <c r="J155" i="12"/>
  <c r="L155" i="12"/>
  <c r="G153" i="12"/>
  <c r="X153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C152" i="12"/>
  <c r="M152" i="12"/>
  <c r="O152" i="12"/>
  <c r="AO152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AE157" i="5"/>
  <c r="AD157" i="5"/>
  <c r="B157" i="6"/>
  <c r="W157" i="5"/>
  <c r="H157" i="12" s="1"/>
  <c r="E157" i="5"/>
  <c r="F157" i="5"/>
  <c r="D156" i="6"/>
  <c r="AB152" i="5"/>
  <c r="C152" i="6"/>
  <c r="T150" i="12"/>
  <c r="V150" i="12"/>
  <c r="U150" i="12"/>
  <c r="H155" i="6"/>
  <c r="T155" i="5" s="1"/>
  <c r="G154" i="12"/>
  <c r="X154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C159" i="5" s="1"/>
  <c r="R159" i="5" s="1"/>
  <c r="A158" i="12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T151" i="12"/>
  <c r="U151" i="12"/>
  <c r="V151" i="12"/>
  <c r="H156" i="6"/>
  <c r="T156" i="5" s="1"/>
  <c r="L157" i="12"/>
  <c r="J157" i="12"/>
  <c r="N152" i="12"/>
  <c r="AB153" i="5"/>
  <c r="C153" i="12"/>
  <c r="AO153" i="12"/>
  <c r="M153" i="12"/>
  <c r="O153" i="12"/>
  <c r="C153" i="6"/>
  <c r="W152" i="12" l="1"/>
  <c r="T152" i="12" s="1"/>
  <c r="M156" i="6"/>
  <c r="AI156" i="6" s="1"/>
  <c r="N153" i="12"/>
  <c r="Y153" i="12"/>
  <c r="C154" i="6"/>
  <c r="H157" i="6"/>
  <c r="T157" i="5" s="1"/>
  <c r="L158" i="12"/>
  <c r="J158" i="12"/>
  <c r="D158" i="6"/>
  <c r="K157" i="12"/>
  <c r="G156" i="12"/>
  <c r="X156" i="5"/>
  <c r="L155" i="5"/>
  <c r="I155" i="12"/>
  <c r="AM155" i="5"/>
  <c r="Z155" i="5"/>
  <c r="AB154" i="5"/>
  <c r="C154" i="12"/>
  <c r="M154" i="12"/>
  <c r="O154" i="12"/>
  <c r="AO154" i="12"/>
  <c r="N159" i="5"/>
  <c r="AE159" i="5"/>
  <c r="G159" i="5"/>
  <c r="C160" i="5"/>
  <c r="H159" i="5"/>
  <c r="B159" i="6"/>
  <c r="B159" i="5"/>
  <c r="A159" i="12"/>
  <c r="AD159" i="5"/>
  <c r="W159" i="5"/>
  <c r="H159" i="12" s="1"/>
  <c r="E159" i="5"/>
  <c r="F159" i="5"/>
  <c r="A157" i="6"/>
  <c r="V152" i="12" l="1"/>
  <c r="U152" i="12"/>
  <c r="AZ156" i="6"/>
  <c r="BA156" i="6"/>
  <c r="BG156" i="6"/>
  <c r="AH156" i="6"/>
  <c r="AM156" i="6"/>
  <c r="AG156" i="6"/>
  <c r="AR156" i="6"/>
  <c r="AT156" i="6"/>
  <c r="AP156" i="6"/>
  <c r="AU156" i="6"/>
  <c r="AO156" i="6"/>
  <c r="AY156" i="6"/>
  <c r="BF156" i="6"/>
  <c r="AB156" i="6"/>
  <c r="AD156" i="6"/>
  <c r="AN156" i="6"/>
  <c r="AS156" i="6"/>
  <c r="AC156" i="6"/>
  <c r="AF156" i="6"/>
  <c r="AX156" i="6"/>
  <c r="AE156" i="6"/>
  <c r="AQ156" i="6"/>
  <c r="BD156" i="6"/>
  <c r="AV156" i="6"/>
  <c r="BE156" i="6"/>
  <c r="BB156" i="6"/>
  <c r="AK156" i="6"/>
  <c r="BC156" i="6"/>
  <c r="AJ156" i="6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B160" i="6"/>
  <c r="G160" i="5"/>
  <c r="C155" i="12"/>
  <c r="O155" i="12"/>
  <c r="M155" i="12"/>
  <c r="AO155" i="12"/>
  <c r="L156" i="5"/>
  <c r="AM156" i="5"/>
  <c r="I156" i="12"/>
  <c r="Z156" i="5"/>
  <c r="K158" i="12"/>
  <c r="E159" i="12"/>
  <c r="F159" i="6"/>
  <c r="D159" i="6"/>
  <c r="N154" i="12"/>
  <c r="AB155" i="5"/>
  <c r="C155" i="6"/>
  <c r="H158" i="6"/>
  <c r="T158" i="5" s="1"/>
  <c r="A158" i="6"/>
  <c r="G157" i="12"/>
  <c r="X157" i="5"/>
  <c r="X153" i="12"/>
  <c r="W153" i="12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AE161" i="5"/>
  <c r="B161" i="5"/>
  <c r="E161" i="5"/>
  <c r="N161" i="5"/>
  <c r="A161" i="12"/>
  <c r="K161" i="5"/>
  <c r="F161" i="5"/>
  <c r="J161" i="5"/>
  <c r="H161" i="5"/>
  <c r="W161" i="5"/>
  <c r="H161" i="12" s="1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M158" i="6"/>
  <c r="H159" i="6"/>
  <c r="T159" i="5" s="1"/>
  <c r="G159" i="6"/>
  <c r="AB156" i="5"/>
  <c r="C156" i="12"/>
  <c r="AO156" i="12"/>
  <c r="O156" i="12"/>
  <c r="M156" i="12"/>
  <c r="C156" i="6"/>
  <c r="J160" i="12"/>
  <c r="L160" i="12"/>
  <c r="D160" i="6"/>
  <c r="T154" i="12" l="1"/>
  <c r="V154" i="12"/>
  <c r="X155" i="12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H160" i="6"/>
  <c r="T160" i="5" s="1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F162" i="5"/>
  <c r="D162" i="5"/>
  <c r="B162" i="12" s="1"/>
  <c r="AD162" i="5"/>
  <c r="E162" i="5"/>
  <c r="G162" i="5"/>
  <c r="B162" i="5"/>
  <c r="C163" i="5" s="1"/>
  <c r="R163" i="5" s="1"/>
  <c r="H162" i="5"/>
  <c r="AE162" i="5"/>
  <c r="J162" i="5"/>
  <c r="W162" i="5"/>
  <c r="H162" i="12" s="1"/>
  <c r="A162" i="12"/>
  <c r="B162" i="6"/>
  <c r="D161" i="6"/>
  <c r="A160" i="6"/>
  <c r="M160" i="6" s="1"/>
  <c r="U155" i="12"/>
  <c r="V155" i="12"/>
  <c r="T155" i="12"/>
  <c r="K161" i="12" l="1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H161" i="6"/>
  <c r="T161" i="5" s="1"/>
  <c r="J162" i="12"/>
  <c r="L162" i="12"/>
  <c r="F163" i="5"/>
  <c r="C164" i="5"/>
  <c r="N163" i="5"/>
  <c r="B163" i="6"/>
  <c r="AE163" i="5"/>
  <c r="A163" i="12"/>
  <c r="H163" i="5"/>
  <c r="AD163" i="5"/>
  <c r="W163" i="5"/>
  <c r="H163" i="12" s="1"/>
  <c r="G163" i="5"/>
  <c r="E163" i="5"/>
  <c r="B163" i="5"/>
  <c r="D157" i="12"/>
  <c r="E157" i="6"/>
  <c r="X156" i="12"/>
  <c r="W156" i="12"/>
  <c r="G160" i="12"/>
  <c r="X160" i="5"/>
  <c r="C158" i="6"/>
  <c r="O158" i="5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W157" i="12" l="1"/>
  <c r="V157" i="12" s="1"/>
  <c r="A162" i="6"/>
  <c r="M161" i="6"/>
  <c r="AJ161" i="6" s="1"/>
  <c r="N158" i="12"/>
  <c r="Y158" i="12"/>
  <c r="T156" i="12"/>
  <c r="U156" i="12"/>
  <c r="V156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H164" i="5"/>
  <c r="AE164" i="5"/>
  <c r="G161" i="12"/>
  <c r="X161" i="5"/>
  <c r="H162" i="6"/>
  <c r="T162" i="5" s="1"/>
  <c r="D158" i="12"/>
  <c r="E158" i="6"/>
  <c r="L160" i="5"/>
  <c r="AM160" i="5"/>
  <c r="I160" i="12"/>
  <c r="Z160" i="5"/>
  <c r="F163" i="6"/>
  <c r="E163" i="12"/>
  <c r="K162" i="12"/>
  <c r="U157" i="12" l="1"/>
  <c r="T157" i="12"/>
  <c r="AU161" i="6"/>
  <c r="AM161" i="6"/>
  <c r="AR161" i="6"/>
  <c r="AV161" i="6"/>
  <c r="AK161" i="6"/>
  <c r="M162" i="6"/>
  <c r="AQ162" i="6" s="1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B160" i="5"/>
  <c r="AM161" i="5"/>
  <c r="I161" i="12"/>
  <c r="L161" i="5"/>
  <c r="Z161" i="5"/>
  <c r="B165" i="6"/>
  <c r="G165" i="5"/>
  <c r="W165" i="5"/>
  <c r="H165" i="12" s="1"/>
  <c r="N165" i="5"/>
  <c r="H165" i="5"/>
  <c r="AD165" i="5"/>
  <c r="E165" i="5"/>
  <c r="C166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G162" i="12"/>
  <c r="X162" i="5"/>
  <c r="D164" i="6"/>
  <c r="L164" i="12"/>
  <c r="J164" i="12"/>
  <c r="W158" i="12"/>
  <c r="X158" i="12"/>
  <c r="BD162" i="6" l="1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164" i="6"/>
  <c r="K164" i="12"/>
  <c r="U158" i="12"/>
  <c r="V158" i="12"/>
  <c r="T158" i="12"/>
  <c r="M163" i="6"/>
  <c r="AF163" i="6" s="1"/>
  <c r="G163" i="12"/>
  <c r="AA161" i="5"/>
  <c r="AB161" i="5"/>
  <c r="C161" i="12"/>
  <c r="AO161" i="12"/>
  <c r="M161" i="12"/>
  <c r="O161" i="12"/>
  <c r="H164" i="6"/>
  <c r="T164" i="5" s="1"/>
  <c r="AM162" i="5"/>
  <c r="I162" i="12"/>
  <c r="L162" i="5"/>
  <c r="Z162" i="5"/>
  <c r="N160" i="12"/>
  <c r="J165" i="12"/>
  <c r="L165" i="12"/>
  <c r="E166" i="5"/>
  <c r="B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W160" i="12" l="1"/>
  <c r="T160" i="12" s="1"/>
  <c r="M164" i="6"/>
  <c r="AR164" i="6" s="1"/>
  <c r="AH163" i="6"/>
  <c r="AI163" i="6"/>
  <c r="K165" i="12"/>
  <c r="AG163" i="6"/>
  <c r="AK163" i="6"/>
  <c r="N161" i="12"/>
  <c r="D161" i="12"/>
  <c r="E161" i="6"/>
  <c r="H165" i="6"/>
  <c r="T165" i="5" s="1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D166" i="6"/>
  <c r="AA162" i="5"/>
  <c r="AB162" i="5"/>
  <c r="C162" i="12"/>
  <c r="O162" i="12"/>
  <c r="AO162" i="12"/>
  <c r="M162" i="12"/>
  <c r="Y161" i="12"/>
  <c r="A165" i="6"/>
  <c r="L166" i="12"/>
  <c r="J166" i="12"/>
  <c r="C162" i="6"/>
  <c r="O162" i="5"/>
  <c r="G164" i="12"/>
  <c r="X164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M165" i="6" l="1"/>
  <c r="AS165" i="6" s="1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AM164" i="5"/>
  <c r="I164" i="12"/>
  <c r="L164" i="5"/>
  <c r="Z164" i="5"/>
  <c r="W161" i="12"/>
  <c r="X161" i="12"/>
  <c r="L167" i="12"/>
  <c r="J167" i="12"/>
  <c r="G165" i="12"/>
  <c r="X165" i="5"/>
  <c r="D162" i="12"/>
  <c r="E162" i="6"/>
  <c r="K166" i="12"/>
  <c r="N162" i="12"/>
  <c r="A166" i="6"/>
  <c r="H166" i="6"/>
  <c r="T166" i="5" s="1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N168" i="5"/>
  <c r="AE168" i="5"/>
  <c r="D167" i="6"/>
  <c r="AG165" i="6" l="1"/>
  <c r="AH165" i="6"/>
  <c r="AF165" i="6"/>
  <c r="AI165" i="6"/>
  <c r="AK165" i="6"/>
  <c r="AP165" i="6"/>
  <c r="AN165" i="6"/>
  <c r="AT165" i="6"/>
  <c r="BB165" i="6"/>
  <c r="BF165" i="6"/>
  <c r="BG165" i="6"/>
  <c r="AR165" i="6"/>
  <c r="AX165" i="6"/>
  <c r="BD165" i="6"/>
  <c r="BC165" i="6"/>
  <c r="AD165" i="6"/>
  <c r="AC165" i="6"/>
  <c r="AQ165" i="6"/>
  <c r="AY165" i="6"/>
  <c r="AE165" i="6"/>
  <c r="AZ165" i="6"/>
  <c r="AU165" i="6"/>
  <c r="AM165" i="6"/>
  <c r="AB165" i="6"/>
  <c r="BA165" i="6"/>
  <c r="AV165" i="6"/>
  <c r="AJ165" i="6"/>
  <c r="AO165" i="6"/>
  <c r="BE165" i="6"/>
  <c r="W162" i="12"/>
  <c r="V162" i="12" s="1"/>
  <c r="A167" i="6"/>
  <c r="M166" i="6"/>
  <c r="AO166" i="6" s="1"/>
  <c r="K167" i="12"/>
  <c r="G166" i="12"/>
  <c r="X166" i="5"/>
  <c r="I165" i="12"/>
  <c r="AM165" i="5"/>
  <c r="L165" i="5"/>
  <c r="Z165" i="5"/>
  <c r="T161" i="12"/>
  <c r="V161" i="12"/>
  <c r="U161" i="12"/>
  <c r="AB164" i="5"/>
  <c r="C164" i="6"/>
  <c r="H167" i="6"/>
  <c r="T167" i="5" s="1"/>
  <c r="D168" i="6"/>
  <c r="H169" i="5"/>
  <c r="B169" i="5"/>
  <c r="W169" i="5"/>
  <c r="H169" i="12" s="1"/>
  <c r="K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C164" i="12"/>
  <c r="O164" i="12"/>
  <c r="AO164" i="12"/>
  <c r="M164" i="12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K168" i="12"/>
  <c r="N164" i="12"/>
  <c r="J169" i="12"/>
  <c r="L169" i="12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C171" i="5"/>
  <c r="D169" i="6"/>
  <c r="I166" i="12"/>
  <c r="AM166" i="5"/>
  <c r="L166" i="5"/>
  <c r="Z166" i="5"/>
  <c r="A168" i="6"/>
  <c r="M168" i="6" s="1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J170" i="12"/>
  <c r="L170" i="12"/>
  <c r="X164" i="12"/>
  <c r="W164" i="12"/>
  <c r="AM167" i="5"/>
  <c r="I167" i="12"/>
  <c r="L167" i="5"/>
  <c r="Z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E171" i="5"/>
  <c r="D170" i="6"/>
  <c r="A169" i="6"/>
  <c r="M169" i="6" s="1"/>
  <c r="E165" i="6"/>
  <c r="D165" i="12"/>
  <c r="AH168" i="6"/>
  <c r="AF168" i="6"/>
  <c r="AC168" i="6"/>
  <c r="AI168" i="6"/>
  <c r="K169" i="12"/>
  <c r="W165" i="12" l="1"/>
  <c r="T165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L171" i="12"/>
  <c r="J171" i="12"/>
  <c r="J172" i="5"/>
  <c r="F172" i="5"/>
  <c r="B172" i="6"/>
  <c r="W172" i="5"/>
  <c r="H172" i="12" s="1"/>
  <c r="H172" i="5"/>
  <c r="G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B167" i="5"/>
  <c r="C167" i="12"/>
  <c r="O167" i="12"/>
  <c r="AO167" i="12"/>
  <c r="M167" i="12"/>
  <c r="T164" i="12"/>
  <c r="U164" i="12"/>
  <c r="V164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K170" i="12"/>
  <c r="U165" i="12" l="1"/>
  <c r="V165" i="12"/>
  <c r="AF170" i="6"/>
  <c r="BF170" i="6"/>
  <c r="AP170" i="6"/>
  <c r="AR170" i="6"/>
  <c r="AK170" i="6"/>
  <c r="AH170" i="6"/>
  <c r="BG170" i="6"/>
  <c r="H171" i="6"/>
  <c r="T171" i="5" s="1"/>
  <c r="N167" i="12"/>
  <c r="AB168" i="5"/>
  <c r="C168" i="12"/>
  <c r="M168" i="12"/>
  <c r="AO168" i="12"/>
  <c r="O168" i="12"/>
  <c r="A171" i="6"/>
  <c r="M171" i="6" s="1"/>
  <c r="L172" i="12"/>
  <c r="J172" i="12"/>
  <c r="AB170" i="6"/>
  <c r="AC170" i="6"/>
  <c r="AY170" i="6"/>
  <c r="AN170" i="6"/>
  <c r="AV170" i="6"/>
  <c r="BC170" i="6"/>
  <c r="AZ170" i="6"/>
  <c r="AT170" i="6"/>
  <c r="G170" i="12"/>
  <c r="X170" i="5"/>
  <c r="W166" i="12"/>
  <c r="X166" i="12"/>
  <c r="I169" i="12"/>
  <c r="L169" i="5"/>
  <c r="AM169" i="5"/>
  <c r="Z169" i="5"/>
  <c r="Y167" i="12"/>
  <c r="C168" i="6"/>
  <c r="D172" i="6"/>
  <c r="K173" i="5"/>
  <c r="B173" i="5"/>
  <c r="H173" i="5"/>
  <c r="W173" i="5"/>
  <c r="H173" i="12" s="1"/>
  <c r="B173" i="6"/>
  <c r="C174" i="5"/>
  <c r="AD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N168" i="12" l="1"/>
  <c r="Y168" i="12"/>
  <c r="X168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H172" i="6"/>
  <c r="T172" i="5" s="1"/>
  <c r="C169" i="6"/>
  <c r="I170" i="12"/>
  <c r="AM170" i="5"/>
  <c r="L170" i="5"/>
  <c r="Z170" i="5"/>
  <c r="A172" i="6"/>
  <c r="M172" i="6" s="1"/>
  <c r="J173" i="12"/>
  <c r="L173" i="12"/>
  <c r="B174" i="6"/>
  <c r="K174" i="5"/>
  <c r="N174" i="5"/>
  <c r="AD174" i="5"/>
  <c r="E174" i="5"/>
  <c r="W174" i="5"/>
  <c r="H174" i="12" s="1"/>
  <c r="H174" i="5"/>
  <c r="D174" i="5"/>
  <c r="B174" i="12" s="1"/>
  <c r="AE174" i="5"/>
  <c r="J174" i="5"/>
  <c r="B174" i="5"/>
  <c r="C175" i="5" s="1"/>
  <c r="R175" i="5" s="1"/>
  <c r="F174" i="5"/>
  <c r="G174" i="5"/>
  <c r="A174" i="12"/>
  <c r="W167" i="12"/>
  <c r="X167" i="12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W168" i="12" l="1"/>
  <c r="U168" i="12" s="1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D174" i="6"/>
  <c r="H173" i="6"/>
  <c r="T173" i="5" s="1"/>
  <c r="N169" i="12"/>
  <c r="V167" i="12"/>
  <c r="U167" i="12"/>
  <c r="T167" i="12"/>
  <c r="J174" i="12"/>
  <c r="L174" i="12"/>
  <c r="H175" i="5"/>
  <c r="G175" i="5"/>
  <c r="AD175" i="5"/>
  <c r="A175" i="12"/>
  <c r="B175" i="5"/>
  <c r="B175" i="6"/>
  <c r="C176" i="5"/>
  <c r="E175" i="5"/>
  <c r="N175" i="5"/>
  <c r="AE175" i="5"/>
  <c r="F175" i="5"/>
  <c r="W175" i="5"/>
  <c r="H175" i="12" s="1"/>
  <c r="K173" i="12"/>
  <c r="AB170" i="5"/>
  <c r="C170" i="6"/>
  <c r="C170" i="12"/>
  <c r="O170" i="12"/>
  <c r="AO170" i="12"/>
  <c r="M170" i="12"/>
  <c r="G172" i="12"/>
  <c r="X172" i="5"/>
  <c r="AE172" i="6"/>
  <c r="AC172" i="6"/>
  <c r="T168" i="12" l="1"/>
  <c r="V168" i="12"/>
  <c r="X169" i="12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N170" i="12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G173" i="12"/>
  <c r="X173" i="5"/>
  <c r="H174" i="6"/>
  <c r="T174" i="5" s="1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N171" i="12" l="1"/>
  <c r="A175" i="6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H176" i="6"/>
  <c r="T176" i="5" s="1"/>
  <c r="L174" i="5"/>
  <c r="AM174" i="5"/>
  <c r="I174" i="12"/>
  <c r="Z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N172" i="12"/>
  <c r="E172" i="6"/>
  <c r="D172" i="12"/>
  <c r="K176" i="12"/>
  <c r="AB173" i="5"/>
  <c r="AA173" i="5"/>
  <c r="T170" i="12"/>
  <c r="V170" i="12"/>
  <c r="U170" i="12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N173" i="12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F179" i="5"/>
  <c r="AE179" i="5"/>
  <c r="AD179" i="5"/>
  <c r="D179" i="5"/>
  <c r="B179" i="12" s="1"/>
  <c r="H179" i="5"/>
  <c r="E179" i="5"/>
  <c r="D178" i="6"/>
  <c r="C174" i="12"/>
  <c r="M174" i="12"/>
  <c r="AO174" i="12"/>
  <c r="O174" i="12"/>
  <c r="C174" i="6"/>
  <c r="O174" i="5"/>
  <c r="M176" i="6"/>
  <c r="N174" i="12" l="1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D179" i="6"/>
  <c r="A180" i="12"/>
  <c r="K180" i="5"/>
  <c r="J180" i="5"/>
  <c r="H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G176" i="6"/>
  <c r="I176" i="12"/>
  <c r="AM176" i="5"/>
  <c r="L176" i="5"/>
  <c r="Z176" i="5"/>
  <c r="A178" i="6"/>
  <c r="M178" i="6" s="1"/>
  <c r="AK176" i="6"/>
  <c r="AE176" i="6"/>
  <c r="E174" i="6"/>
  <c r="D174" i="12"/>
  <c r="J179" i="12"/>
  <c r="L179" i="12"/>
  <c r="G177" i="12"/>
  <c r="X177" i="5"/>
  <c r="AJ176" i="6"/>
  <c r="AB176" i="6"/>
  <c r="K178" i="12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K179" i="12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AB176" i="5"/>
  <c r="C176" i="6"/>
  <c r="C176" i="12"/>
  <c r="M176" i="12"/>
  <c r="O176" i="12"/>
  <c r="AO176" i="12"/>
  <c r="A179" i="6"/>
  <c r="M179" i="6" s="1"/>
  <c r="BF179" i="6" s="1"/>
  <c r="H179" i="6"/>
  <c r="T179" i="5" s="1"/>
  <c r="G178" i="12"/>
  <c r="X178" i="5"/>
  <c r="AM177" i="5"/>
  <c r="L177" i="5"/>
  <c r="I177" i="12"/>
  <c r="Z177" i="5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W181" i="5"/>
  <c r="H181" i="12" s="1"/>
  <c r="F181" i="5"/>
  <c r="D180" i="6"/>
  <c r="J180" i="12"/>
  <c r="L180" i="12"/>
  <c r="AI178" i="6"/>
  <c r="AJ178" i="6"/>
  <c r="AE178" i="6"/>
  <c r="AK178" i="6"/>
  <c r="T174" i="12" l="1"/>
  <c r="U174" i="12"/>
  <c r="A180" i="6"/>
  <c r="M180" i="6" s="1"/>
  <c r="AS179" i="6"/>
  <c r="BG179" i="6"/>
  <c r="AB179" i="6"/>
  <c r="AY179" i="6"/>
  <c r="BB179" i="6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J181" i="12"/>
  <c r="L181" i="12"/>
  <c r="D181" i="6"/>
  <c r="AB177" i="5"/>
  <c r="C177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C177" i="12"/>
  <c r="AO177" i="12"/>
  <c r="M177" i="12"/>
  <c r="O177" i="12"/>
  <c r="L178" i="5"/>
  <c r="AM178" i="5"/>
  <c r="I178" i="12"/>
  <c r="Z178" i="5"/>
  <c r="G179" i="12"/>
  <c r="X179" i="5"/>
  <c r="AD179" i="6"/>
  <c r="AE179" i="6"/>
  <c r="AF179" i="6"/>
  <c r="N176" i="12"/>
  <c r="BB180" i="6" l="1"/>
  <c r="AP180" i="6"/>
  <c r="BG180" i="6"/>
  <c r="W176" i="12"/>
  <c r="U176" i="12" s="1"/>
  <c r="AY180" i="6"/>
  <c r="AZ180" i="6"/>
  <c r="AX180" i="6"/>
  <c r="BA180" i="6"/>
  <c r="AR180" i="6"/>
  <c r="AS180" i="6"/>
  <c r="AM180" i="6"/>
  <c r="AN180" i="6"/>
  <c r="AC180" i="6"/>
  <c r="AF180" i="6"/>
  <c r="AI180" i="6"/>
  <c r="K181" i="12"/>
  <c r="AB178" i="5"/>
  <c r="C178" i="12"/>
  <c r="M178" i="12"/>
  <c r="AO178" i="12"/>
  <c r="O178" i="12"/>
  <c r="C178" i="6"/>
  <c r="G183" i="5"/>
  <c r="K183" i="5"/>
  <c r="B183" i="5"/>
  <c r="C184" i="5" s="1"/>
  <c r="R184" i="5" s="1"/>
  <c r="W183" i="5"/>
  <c r="H183" i="12" s="1"/>
  <c r="E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I179" i="12"/>
  <c r="L179" i="5"/>
  <c r="AM179" i="5"/>
  <c r="Z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T176" i="12" l="1"/>
  <c r="N178" i="12"/>
  <c r="V176" i="12"/>
  <c r="A182" i="6"/>
  <c r="M182" i="6" s="1"/>
  <c r="AP182" i="6" s="1"/>
  <c r="K182" i="12"/>
  <c r="X177" i="12"/>
  <c r="W177" i="12"/>
  <c r="AB179" i="5"/>
  <c r="C179" i="6"/>
  <c r="M181" i="6"/>
  <c r="D183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L183" i="12"/>
  <c r="J183" i="12"/>
  <c r="W184" i="5"/>
  <c r="H184" i="12" s="1"/>
  <c r="G184" i="5"/>
  <c r="H184" i="5"/>
  <c r="N184" i="5"/>
  <c r="A184" i="12"/>
  <c r="B184" i="6"/>
  <c r="AD184" i="5"/>
  <c r="F184" i="5"/>
  <c r="AE184" i="5"/>
  <c r="C185" i="5"/>
  <c r="E184" i="5"/>
  <c r="B184" i="5"/>
  <c r="Y178" i="12"/>
  <c r="AR182" i="6" l="1"/>
  <c r="AS182" i="6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D184" i="6"/>
  <c r="C180" i="6"/>
  <c r="H183" i="6"/>
  <c r="T183" i="5" s="1"/>
  <c r="V177" i="12"/>
  <c r="T177" i="12"/>
  <c r="U177" i="12"/>
  <c r="X178" i="12"/>
  <c r="W178" i="12"/>
  <c r="AE185" i="5"/>
  <c r="B185" i="5"/>
  <c r="H185" i="5"/>
  <c r="F185" i="5"/>
  <c r="A185" i="12"/>
  <c r="J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N180" i="12" l="1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W179" i="12"/>
  <c r="X179" i="12"/>
  <c r="C181" i="12"/>
  <c r="AO181" i="12"/>
  <c r="M181" i="12"/>
  <c r="O181" i="12"/>
  <c r="A184" i="6"/>
  <c r="D185" i="6"/>
  <c r="L185" i="12"/>
  <c r="J185" i="12"/>
  <c r="G183" i="12"/>
  <c r="X183" i="5"/>
  <c r="X180" i="12" l="1"/>
  <c r="A185" i="6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K185" i="12"/>
  <c r="H185" i="6"/>
  <c r="T185" i="5" s="1"/>
  <c r="N181" i="12"/>
  <c r="Y181" i="12"/>
  <c r="C182" i="6"/>
  <c r="O182" i="5"/>
  <c r="G184" i="12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AD187" i="5"/>
  <c r="AE187" i="5"/>
  <c r="G187" i="5"/>
  <c r="N187" i="5"/>
  <c r="C188" i="5"/>
  <c r="T180" i="12"/>
  <c r="U180" i="12"/>
  <c r="V180" i="12"/>
  <c r="M185" i="6" l="1"/>
  <c r="AX185" i="6" s="1"/>
  <c r="A186" i="6"/>
  <c r="AK184" i="6"/>
  <c r="N182" i="12"/>
  <c r="K186" i="12"/>
  <c r="C189" i="5"/>
  <c r="F188" i="5"/>
  <c r="J188" i="5"/>
  <c r="G188" i="5"/>
  <c r="N188" i="5"/>
  <c r="AE188" i="5"/>
  <c r="E188" i="5"/>
  <c r="H188" i="5"/>
  <c r="AD188" i="5"/>
  <c r="B188" i="6"/>
  <c r="A188" i="12"/>
  <c r="D188" i="5"/>
  <c r="B188" i="12" s="1"/>
  <c r="B188" i="5"/>
  <c r="W188" i="5"/>
  <c r="H188" i="12" s="1"/>
  <c r="K188" i="5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L187" i="12"/>
  <c r="J187" i="12"/>
  <c r="AG184" i="6"/>
  <c r="E182" i="6"/>
  <c r="D182" i="12"/>
  <c r="X181" i="12"/>
  <c r="W181" i="12"/>
  <c r="C183" i="6"/>
  <c r="O183" i="5"/>
  <c r="H186" i="6"/>
  <c r="T186" i="5" s="1"/>
  <c r="Y182" i="12"/>
  <c r="AI185" i="6" l="1"/>
  <c r="BD185" i="6"/>
  <c r="AM185" i="6"/>
  <c r="AE185" i="6"/>
  <c r="AZ185" i="6"/>
  <c r="AV185" i="6"/>
  <c r="AU185" i="6"/>
  <c r="BC185" i="6"/>
  <c r="M186" i="6"/>
  <c r="AN186" i="6" s="1"/>
  <c r="AS185" i="6"/>
  <c r="AB185" i="6"/>
  <c r="AK185" i="6"/>
  <c r="AC185" i="6"/>
  <c r="AR185" i="6"/>
  <c r="AJ185" i="6"/>
  <c r="AD185" i="6"/>
  <c r="AF185" i="6"/>
  <c r="BB185" i="6"/>
  <c r="AG185" i="6"/>
  <c r="AT185" i="6"/>
  <c r="BE185" i="6"/>
  <c r="AQ185" i="6"/>
  <c r="AH185" i="6"/>
  <c r="AP185" i="6"/>
  <c r="BA185" i="6"/>
  <c r="BG185" i="6"/>
  <c r="AN185" i="6"/>
  <c r="BF185" i="6"/>
  <c r="AY185" i="6"/>
  <c r="AO185" i="6"/>
  <c r="A187" i="6"/>
  <c r="M187" i="6" s="1"/>
  <c r="AU187" i="6" s="1"/>
  <c r="N183" i="12"/>
  <c r="E183" i="6"/>
  <c r="D183" i="12"/>
  <c r="L188" i="12"/>
  <c r="J188" i="12"/>
  <c r="X182" i="12"/>
  <c r="W182" i="12"/>
  <c r="G186" i="12"/>
  <c r="X186" i="5"/>
  <c r="V181" i="12"/>
  <c r="U181" i="12"/>
  <c r="T181" i="12"/>
  <c r="K187" i="12"/>
  <c r="H187" i="6"/>
  <c r="T187" i="5" s="1"/>
  <c r="Y183" i="12"/>
  <c r="I185" i="12"/>
  <c r="AM185" i="5"/>
  <c r="L185" i="5"/>
  <c r="Z185" i="5"/>
  <c r="D188" i="6"/>
  <c r="F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BB186" i="6" l="1"/>
  <c r="AH186" i="6"/>
  <c r="AB186" i="6"/>
  <c r="AI186" i="6"/>
  <c r="AO186" i="6"/>
  <c r="AC186" i="6"/>
  <c r="AX186" i="6"/>
  <c r="BF186" i="6"/>
  <c r="AY186" i="6"/>
  <c r="AE186" i="6"/>
  <c r="BA186" i="6"/>
  <c r="AU186" i="6"/>
  <c r="AR186" i="6"/>
  <c r="AP186" i="6"/>
  <c r="AT186" i="6"/>
  <c r="AG186" i="6"/>
  <c r="AQ186" i="6"/>
  <c r="BC186" i="6"/>
  <c r="AJ186" i="6"/>
  <c r="AK186" i="6"/>
  <c r="BG186" i="6"/>
  <c r="BD186" i="6"/>
  <c r="AD186" i="6"/>
  <c r="AF186" i="6"/>
  <c r="BE186" i="6"/>
  <c r="AM186" i="6"/>
  <c r="AZ186" i="6"/>
  <c r="AS186" i="6"/>
  <c r="AV186" i="6"/>
  <c r="BB187" i="6"/>
  <c r="BG187" i="6"/>
  <c r="AY187" i="6"/>
  <c r="AQ187" i="6"/>
  <c r="AR187" i="6"/>
  <c r="AX187" i="6"/>
  <c r="AS187" i="6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H188" i="6"/>
  <c r="T188" i="5" s="1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A188" i="6"/>
  <c r="C185" i="6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N185" i="12" l="1"/>
  <c r="A189" i="6"/>
  <c r="M189" i="6" s="1"/>
  <c r="AY189" i="6" s="1"/>
  <c r="G188" i="12"/>
  <c r="X188" i="5"/>
  <c r="AB186" i="5"/>
  <c r="C186" i="6"/>
  <c r="C186" i="12"/>
  <c r="M186" i="12"/>
  <c r="O186" i="12"/>
  <c r="AO186" i="12"/>
  <c r="Y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K191" i="5"/>
  <c r="L190" i="12"/>
  <c r="J190" i="12"/>
  <c r="D190" i="6"/>
  <c r="L187" i="5"/>
  <c r="AM187" i="5"/>
  <c r="I187" i="12"/>
  <c r="Z187" i="5"/>
  <c r="V183" i="12"/>
  <c r="U183" i="12"/>
  <c r="T183" i="12"/>
  <c r="M188" i="6"/>
  <c r="AG188" i="6" s="1"/>
  <c r="K189" i="12"/>
  <c r="H189" i="6"/>
  <c r="T189" i="5" s="1"/>
  <c r="N186" i="12" l="1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B187" i="5"/>
  <c r="C187" i="12"/>
  <c r="AO187" i="12"/>
  <c r="O187" i="12"/>
  <c r="M187" i="12"/>
  <c r="C187" i="6"/>
  <c r="H190" i="6"/>
  <c r="T190" i="5" s="1"/>
  <c r="D191" i="6"/>
  <c r="L191" i="12"/>
  <c r="J191" i="12"/>
  <c r="X185" i="12"/>
  <c r="W185" i="12"/>
  <c r="AF188" i="6"/>
  <c r="AM188" i="5"/>
  <c r="L188" i="5"/>
  <c r="I188" i="12"/>
  <c r="Z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K192" i="5"/>
  <c r="G192" i="5"/>
  <c r="B192" i="6"/>
  <c r="F192" i="5"/>
  <c r="J192" i="5"/>
  <c r="C193" i="5"/>
  <c r="Y186" i="12"/>
  <c r="AE188" i="6"/>
  <c r="AH188" i="6"/>
  <c r="A190" i="6"/>
  <c r="Y187" i="12" l="1"/>
  <c r="X187" i="12" s="1"/>
  <c r="D192" i="6"/>
  <c r="A191" i="6"/>
  <c r="C188" i="6"/>
  <c r="M190" i="6"/>
  <c r="AM189" i="5"/>
  <c r="L189" i="5"/>
  <c r="I189" i="12"/>
  <c r="Z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L192" i="12"/>
  <c r="J192" i="12"/>
  <c r="AB188" i="5"/>
  <c r="C188" i="12"/>
  <c r="M188" i="12"/>
  <c r="O188" i="12"/>
  <c r="AO188" i="12"/>
  <c r="T185" i="12"/>
  <c r="V185" i="12"/>
  <c r="U185" i="12"/>
  <c r="K191" i="12"/>
  <c r="H191" i="6"/>
  <c r="T191" i="5" s="1"/>
  <c r="G190" i="12"/>
  <c r="X190" i="5"/>
  <c r="N187" i="12"/>
  <c r="W187" i="12" l="1"/>
  <c r="U187" i="12" s="1"/>
  <c r="A192" i="6"/>
  <c r="K192" i="12"/>
  <c r="Y188" i="12"/>
  <c r="W188" i="12" s="1"/>
  <c r="L190" i="5"/>
  <c r="AM190" i="5"/>
  <c r="I190" i="12"/>
  <c r="Z190" i="5"/>
  <c r="G191" i="12"/>
  <c r="X191" i="5"/>
  <c r="L193" i="12"/>
  <c r="J193" i="12"/>
  <c r="D193" i="6"/>
  <c r="U186" i="12"/>
  <c r="V186" i="12"/>
  <c r="T186" i="12"/>
  <c r="AB189" i="5"/>
  <c r="C189" i="12"/>
  <c r="O189" i="12"/>
  <c r="AO189" i="12"/>
  <c r="M189" i="12"/>
  <c r="H192" i="6"/>
  <c r="T192" i="5" s="1"/>
  <c r="M191" i="6"/>
  <c r="AF191" i="6" s="1"/>
  <c r="N188" i="12"/>
  <c r="AE194" i="5"/>
  <c r="AD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T187" i="12" l="1"/>
  <c r="V187" i="12"/>
  <c r="M192" i="6"/>
  <c r="BC192" i="6" s="1"/>
  <c r="X188" i="12"/>
  <c r="Y189" i="12"/>
  <c r="W189" i="12" s="1"/>
  <c r="K193" i="12"/>
  <c r="AD191" i="6"/>
  <c r="AC191" i="6"/>
  <c r="AE191" i="6"/>
  <c r="AI191" i="6"/>
  <c r="AG191" i="6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H195" i="5"/>
  <c r="D195" i="5"/>
  <c r="B195" i="12" s="1"/>
  <c r="A195" i="12"/>
  <c r="J195" i="5"/>
  <c r="I191" i="12"/>
  <c r="AM191" i="5"/>
  <c r="L191" i="5"/>
  <c r="Z191" i="5"/>
  <c r="AB190" i="5"/>
  <c r="L194" i="12"/>
  <c r="J194" i="12"/>
  <c r="D194" i="6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H193" i="6"/>
  <c r="T193" i="5" s="1"/>
  <c r="A193" i="6"/>
  <c r="T188" i="12"/>
  <c r="V188" i="12"/>
  <c r="U188" i="12"/>
  <c r="C190" i="12"/>
  <c r="M190" i="12"/>
  <c r="AO190" i="12"/>
  <c r="O190" i="12"/>
  <c r="C190" i="6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K194" i="12"/>
  <c r="M193" i="6"/>
  <c r="AE193" i="6" s="1"/>
  <c r="L192" i="5"/>
  <c r="AM192" i="5"/>
  <c r="I192" i="12"/>
  <c r="Z192" i="5"/>
  <c r="AB191" i="5"/>
  <c r="L195" i="12"/>
  <c r="J195" i="12"/>
  <c r="G196" i="5"/>
  <c r="K196" i="5"/>
  <c r="B196" i="5"/>
  <c r="C197" i="5" s="1"/>
  <c r="R197" i="5" s="1"/>
  <c r="N196" i="5"/>
  <c r="B196" i="6"/>
  <c r="J196" i="5"/>
  <c r="A196" i="12"/>
  <c r="E196" i="5"/>
  <c r="F196" i="5"/>
  <c r="H196" i="5"/>
  <c r="AD196" i="5"/>
  <c r="D196" i="5"/>
  <c r="B196" i="12" s="1"/>
  <c r="AE196" i="5"/>
  <c r="W196" i="5"/>
  <c r="H196" i="12" s="1"/>
  <c r="G193" i="12"/>
  <c r="X193" i="5"/>
  <c r="H194" i="6"/>
  <c r="T194" i="5" s="1"/>
  <c r="C191" i="6"/>
  <c r="C191" i="12"/>
  <c r="M191" i="12"/>
  <c r="O191" i="12"/>
  <c r="AO191" i="12"/>
  <c r="T189" i="12"/>
  <c r="U189" i="12"/>
  <c r="V189" i="12"/>
  <c r="D195" i="6"/>
  <c r="W190" i="12" l="1"/>
  <c r="U190" i="12" s="1"/>
  <c r="AG194" i="6"/>
  <c r="AP194" i="6"/>
  <c r="AS194" i="6"/>
  <c r="AR194" i="6"/>
  <c r="AH194" i="6"/>
  <c r="AT194" i="6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4" i="12"/>
  <c r="X194" i="5"/>
  <c r="J196" i="12"/>
  <c r="L196" i="12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AF194" i="6"/>
  <c r="AC194" i="6"/>
  <c r="AD194" i="6"/>
  <c r="AI194" i="6"/>
  <c r="AC193" i="6"/>
  <c r="I193" i="12"/>
  <c r="L193" i="5"/>
  <c r="AM193" i="5"/>
  <c r="Z193" i="5"/>
  <c r="G197" i="5"/>
  <c r="AE197" i="5"/>
  <c r="C198" i="5"/>
  <c r="H197" i="5"/>
  <c r="AD197" i="5"/>
  <c r="E197" i="5"/>
  <c r="B197" i="6"/>
  <c r="F197" i="5"/>
  <c r="W197" i="5"/>
  <c r="H197" i="12" s="1"/>
  <c r="N197" i="5"/>
  <c r="A197" i="12"/>
  <c r="B197" i="5"/>
  <c r="D196" i="6"/>
  <c r="K195" i="12"/>
  <c r="C192" i="12"/>
  <c r="M192" i="12"/>
  <c r="AO192" i="12"/>
  <c r="O192" i="12"/>
  <c r="C192" i="6"/>
  <c r="V190" i="12" l="1"/>
  <c r="T190" i="12"/>
  <c r="N192" i="12"/>
  <c r="K196" i="12"/>
  <c r="A196" i="6"/>
  <c r="M195" i="6"/>
  <c r="AF195" i="6" s="1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C193" i="12"/>
  <c r="AO193" i="12"/>
  <c r="M193" i="12"/>
  <c r="O193" i="12"/>
  <c r="X191" i="12"/>
  <c r="W191" i="12"/>
  <c r="I194" i="12"/>
  <c r="L194" i="5"/>
  <c r="AM194" i="5"/>
  <c r="Z194" i="5"/>
  <c r="Y192" i="12"/>
  <c r="H196" i="6"/>
  <c r="T196" i="5" s="1"/>
  <c r="D197" i="6"/>
  <c r="AB193" i="5"/>
  <c r="C193" i="6"/>
  <c r="G195" i="12"/>
  <c r="X195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H197" i="6"/>
  <c r="T197" i="5" s="1"/>
  <c r="AB194" i="5"/>
  <c r="C194" i="6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A197" i="6"/>
  <c r="L195" i="5"/>
  <c r="AM195" i="5"/>
  <c r="I195" i="12"/>
  <c r="Z195" i="5"/>
  <c r="G196" i="12"/>
  <c r="X196" i="5"/>
  <c r="X192" i="12"/>
  <c r="W192" i="12"/>
  <c r="C194" i="12"/>
  <c r="O194" i="12"/>
  <c r="M194" i="12"/>
  <c r="AO194" i="12"/>
  <c r="D198" i="6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A198" i="6"/>
  <c r="K198" i="12"/>
  <c r="T192" i="12"/>
  <c r="V192" i="12"/>
  <c r="U192" i="12"/>
  <c r="AM196" i="5"/>
  <c r="I196" i="12"/>
  <c r="L196" i="5"/>
  <c r="Z196" i="5"/>
  <c r="D199" i="6"/>
  <c r="AE200" i="5"/>
  <c r="A200" i="12"/>
  <c r="B200" i="5"/>
  <c r="D200" i="5"/>
  <c r="B200" i="12" s="1"/>
  <c r="N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M197" i="6"/>
  <c r="AF197" i="6" s="1"/>
  <c r="H198" i="6"/>
  <c r="T198" i="5" s="1"/>
  <c r="AB195" i="5"/>
  <c r="C195" i="12"/>
  <c r="AO195" i="12"/>
  <c r="M195" i="12"/>
  <c r="O195" i="12"/>
  <c r="C195" i="6"/>
  <c r="L199" i="12"/>
  <c r="J199" i="12"/>
  <c r="G197" i="12"/>
  <c r="M198" i="6" l="1"/>
  <c r="BC198" i="6" s="1"/>
  <c r="X194" i="12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H199" i="6"/>
  <c r="T199" i="5" s="1"/>
  <c r="AA196" i="5"/>
  <c r="AB196" i="5"/>
  <c r="C196" i="6"/>
  <c r="O196" i="5"/>
  <c r="U194" i="12"/>
  <c r="T194" i="12"/>
  <c r="V194" i="12"/>
  <c r="AJ197" i="6"/>
  <c r="A199" i="6"/>
  <c r="N195" i="12"/>
  <c r="Y195" i="12"/>
  <c r="G198" i="12"/>
  <c r="X198" i="5"/>
  <c r="H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J200" i="12"/>
  <c r="L200" i="12"/>
  <c r="C196" i="12"/>
  <c r="AO196" i="12"/>
  <c r="M196" i="12"/>
  <c r="O196" i="12"/>
  <c r="AV198" i="6" l="1"/>
  <c r="AS198" i="6"/>
  <c r="AI198" i="6"/>
  <c r="AX198" i="6"/>
  <c r="BA198" i="6"/>
  <c r="AO198" i="6"/>
  <c r="AF198" i="6"/>
  <c r="AE198" i="6"/>
  <c r="AH198" i="6"/>
  <c r="BB198" i="6"/>
  <c r="AQ198" i="6"/>
  <c r="BE198" i="6"/>
  <c r="AZ198" i="6"/>
  <c r="AM198" i="6"/>
  <c r="AP198" i="6"/>
  <c r="BG198" i="6"/>
  <c r="AN198" i="6"/>
  <c r="AG198" i="6"/>
  <c r="BD198" i="6"/>
  <c r="AU198" i="6"/>
  <c r="AC198" i="6"/>
  <c r="BF198" i="6"/>
  <c r="AJ198" i="6"/>
  <c r="AR198" i="6"/>
  <c r="AD198" i="6"/>
  <c r="AT198" i="6"/>
  <c r="AB198" i="6"/>
  <c r="AK198" i="6"/>
  <c r="AY198" i="6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K202" i="5"/>
  <c r="D202" i="5"/>
  <c r="B202" i="12" s="1"/>
  <c r="E202" i="5"/>
  <c r="J202" i="5"/>
  <c r="B202" i="5"/>
  <c r="B202" i="6"/>
  <c r="J201" i="12"/>
  <c r="L201" i="12"/>
  <c r="L198" i="5"/>
  <c r="I198" i="12"/>
  <c r="AM198" i="5"/>
  <c r="Z198" i="5"/>
  <c r="X195" i="12"/>
  <c r="W195" i="12"/>
  <c r="N196" i="12"/>
  <c r="Y196" i="12"/>
  <c r="E196" i="6"/>
  <c r="D196" i="12"/>
  <c r="G199" i="12"/>
  <c r="X199" i="5"/>
  <c r="M199" i="6"/>
  <c r="H200" i="6"/>
  <c r="T200" i="5" s="1"/>
  <c r="A201" i="6" l="1"/>
  <c r="M201" i="6" s="1"/>
  <c r="AN201" i="6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C198" i="6"/>
  <c r="G200" i="12"/>
  <c r="X200" i="5"/>
  <c r="AE199" i="6"/>
  <c r="L199" i="5"/>
  <c r="AM199" i="5"/>
  <c r="I199" i="12"/>
  <c r="Z199" i="5"/>
  <c r="T195" i="12"/>
  <c r="V195" i="12"/>
  <c r="U195" i="12"/>
  <c r="C198" i="12"/>
  <c r="O198" i="12"/>
  <c r="AO198" i="12"/>
  <c r="M198" i="12"/>
  <c r="C204" i="5"/>
  <c r="F203" i="5"/>
  <c r="G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AC200" i="6" l="1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AM200" i="5"/>
  <c r="I200" i="12"/>
  <c r="L200" i="5"/>
  <c r="Z200" i="5"/>
  <c r="U196" i="12"/>
  <c r="T196" i="12"/>
  <c r="V196" i="12"/>
  <c r="AI201" i="6"/>
  <c r="AC201" i="6"/>
  <c r="AJ201" i="6"/>
  <c r="AD201" i="6"/>
  <c r="AK201" i="6"/>
  <c r="AF201" i="6"/>
  <c r="H202" i="6"/>
  <c r="T202" i="5" s="1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B204" i="5"/>
  <c r="C205" i="5"/>
  <c r="D204" i="5"/>
  <c r="B204" i="12" s="1"/>
  <c r="N204" i="5"/>
  <c r="K204" i="5"/>
  <c r="G204" i="5"/>
  <c r="F204" i="5"/>
  <c r="E204" i="5"/>
  <c r="N198" i="12"/>
  <c r="AB199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H203" i="6"/>
  <c r="T203" i="5" s="1"/>
  <c r="G202" i="12"/>
  <c r="X202" i="5"/>
  <c r="C200" i="6"/>
  <c r="X199" i="12"/>
  <c r="AM201" i="5"/>
  <c r="I201" i="12"/>
  <c r="L201" i="5"/>
  <c r="Z201" i="5"/>
  <c r="D204" i="6"/>
  <c r="AD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C200" i="12"/>
  <c r="M200" i="12"/>
  <c r="AO200" i="12"/>
  <c r="O200" i="12"/>
  <c r="N199" i="12"/>
  <c r="A203" i="6"/>
  <c r="V198" i="12" l="1"/>
  <c r="U198" i="12"/>
  <c r="N200" i="12"/>
  <c r="B206" i="5"/>
  <c r="K206" i="5"/>
  <c r="AE206" i="5"/>
  <c r="H206" i="5"/>
  <c r="F206" i="5"/>
  <c r="G206" i="5"/>
  <c r="AD206" i="5"/>
  <c r="A206" i="12"/>
  <c r="J206" i="5"/>
  <c r="C207" i="5"/>
  <c r="W206" i="5"/>
  <c r="H206" i="12" s="1"/>
  <c r="B206" i="6"/>
  <c r="E206" i="5"/>
  <c r="D206" i="5"/>
  <c r="B206" i="12" s="1"/>
  <c r="N206" i="5"/>
  <c r="D205" i="6"/>
  <c r="H204" i="6"/>
  <c r="T204" i="5" s="1"/>
  <c r="C201" i="6"/>
  <c r="V199" i="12"/>
  <c r="T199" i="12"/>
  <c r="U199" i="12"/>
  <c r="L202" i="5"/>
  <c r="I202" i="12"/>
  <c r="AM202" i="5"/>
  <c r="Z202" i="5"/>
  <c r="M203" i="6"/>
  <c r="AE203" i="6" s="1"/>
  <c r="Y200" i="12"/>
  <c r="A204" i="6"/>
  <c r="K204" i="12"/>
  <c r="L205" i="12"/>
  <c r="J205" i="12"/>
  <c r="AB201" i="5"/>
  <c r="C201" i="12"/>
  <c r="M201" i="12"/>
  <c r="AO201" i="12"/>
  <c r="O201" i="12"/>
  <c r="G203" i="12"/>
  <c r="X203" i="5"/>
  <c r="N201" i="12" l="1"/>
  <c r="AG203" i="6"/>
  <c r="A205" i="6"/>
  <c r="M205" i="6" s="1"/>
  <c r="AX205" i="6" s="1"/>
  <c r="Y201" i="12"/>
  <c r="W201" i="12" s="1"/>
  <c r="X200" i="12"/>
  <c r="W200" i="12"/>
  <c r="AB202" i="5"/>
  <c r="C202" i="12"/>
  <c r="M202" i="12"/>
  <c r="O202" i="12"/>
  <c r="AO202" i="12"/>
  <c r="H205" i="6"/>
  <c r="T205" i="5" s="1"/>
  <c r="AM203" i="5"/>
  <c r="I203" i="12"/>
  <c r="L203" i="5"/>
  <c r="Z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G207" i="5"/>
  <c r="B207" i="5"/>
  <c r="L206" i="12"/>
  <c r="J206" i="12"/>
  <c r="X201" i="12" l="1"/>
  <c r="BF205" i="6"/>
  <c r="AF205" i="6"/>
  <c r="AQ205" i="6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C203" i="6"/>
  <c r="G205" i="12"/>
  <c r="X205" i="5"/>
  <c r="AE205" i="6"/>
  <c r="AD205" i="6"/>
  <c r="AB205" i="6"/>
  <c r="U200" i="12"/>
  <c r="V200" i="12"/>
  <c r="T200" i="12"/>
  <c r="K206" i="12"/>
  <c r="D207" i="6"/>
  <c r="H206" i="6"/>
  <c r="T206" i="5" s="1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X202" i="12" l="1"/>
  <c r="A207" i="6"/>
  <c r="M207" i="6" s="1"/>
  <c r="Y203" i="12"/>
  <c r="X203" i="12" s="1"/>
  <c r="G206" i="12"/>
  <c r="X206" i="5"/>
  <c r="H207" i="6"/>
  <c r="T207" i="5" s="1"/>
  <c r="U202" i="12"/>
  <c r="V202" i="12"/>
  <c r="T202" i="12"/>
  <c r="AB204" i="5"/>
  <c r="C204" i="6"/>
  <c r="J208" i="12"/>
  <c r="L208" i="12"/>
  <c r="N203" i="12"/>
  <c r="M206" i="6"/>
  <c r="AM205" i="5"/>
  <c r="L205" i="5"/>
  <c r="I205" i="12"/>
  <c r="Z205" i="5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D209" i="5"/>
  <c r="B209" i="12" s="1"/>
  <c r="G209" i="5"/>
  <c r="K209" i="5"/>
  <c r="Y204" i="12" l="1"/>
  <c r="W204" i="12" s="1"/>
  <c r="AG207" i="6"/>
  <c r="AC207" i="6"/>
  <c r="W203" i="12"/>
  <c r="V203" i="12" s="1"/>
  <c r="AR207" i="6"/>
  <c r="AD207" i="6"/>
  <c r="BB207" i="6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AB205" i="5"/>
  <c r="C205" i="6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E210" i="5"/>
  <c r="B210" i="6"/>
  <c r="H210" i="5"/>
  <c r="N210" i="5"/>
  <c r="A210" i="12"/>
  <c r="K210" i="5"/>
  <c r="G210" i="5"/>
  <c r="B210" i="5"/>
  <c r="C211" i="5" s="1"/>
  <c r="J210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X204" i="12" l="1"/>
  <c r="Y205" i="12"/>
  <c r="X205" i="12" s="1"/>
  <c r="U203" i="12"/>
  <c r="T203" i="12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H209" i="6"/>
  <c r="T209" i="5" s="1"/>
  <c r="W211" i="5"/>
  <c r="H211" i="12" s="1"/>
  <c r="N211" i="5"/>
  <c r="B211" i="6"/>
  <c r="F211" i="5"/>
  <c r="E211" i="5"/>
  <c r="A211" i="12"/>
  <c r="AE211" i="5"/>
  <c r="G211" i="5"/>
  <c r="AD211" i="5"/>
  <c r="B211" i="5"/>
  <c r="C212" i="5" s="1"/>
  <c r="R212" i="5" s="1"/>
  <c r="H211" i="5"/>
  <c r="J210" i="12"/>
  <c r="L210" i="12"/>
  <c r="AB206" i="5"/>
  <c r="C206" i="6"/>
  <c r="G208" i="12"/>
  <c r="X208" i="5"/>
  <c r="AF208" i="6"/>
  <c r="AI208" i="6"/>
  <c r="AG208" i="6"/>
  <c r="A209" i="6"/>
  <c r="M209" i="6" s="1"/>
  <c r="N205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W205" i="12" l="1"/>
  <c r="U205" i="12" s="1"/>
  <c r="Y206" i="12"/>
  <c r="X206" i="12" s="1"/>
  <c r="AN209" i="6"/>
  <c r="AZ209" i="6"/>
  <c r="AU209" i="6"/>
  <c r="AD209" i="6"/>
  <c r="H210" i="6"/>
  <c r="T210" i="5" s="1"/>
  <c r="I208" i="12"/>
  <c r="L208" i="5"/>
  <c r="AM208" i="5"/>
  <c r="Z208" i="5"/>
  <c r="D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W212" i="5"/>
  <c r="H212" i="12" s="1"/>
  <c r="B212" i="5"/>
  <c r="E212" i="5"/>
  <c r="C213" i="5"/>
  <c r="N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W206" i="12" l="1"/>
  <c r="V206" i="12" s="1"/>
  <c r="T205" i="12"/>
  <c r="V205" i="12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I209" i="12"/>
  <c r="AM209" i="5"/>
  <c r="L209" i="5"/>
  <c r="Z209" i="5"/>
  <c r="D212" i="6"/>
  <c r="C208" i="6"/>
  <c r="N213" i="5"/>
  <c r="J213" i="5"/>
  <c r="F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N207" i="12"/>
  <c r="H211" i="6"/>
  <c r="T211" i="5" s="1"/>
  <c r="AB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U206" i="12" l="1"/>
  <c r="T206" i="12"/>
  <c r="M211" i="6"/>
  <c r="AT211" i="6" s="1"/>
  <c r="N208" i="12"/>
  <c r="A212" i="6"/>
  <c r="M212" i="6" s="1"/>
  <c r="AR212" i="6" s="1"/>
  <c r="W207" i="12"/>
  <c r="V207" i="12" s="1"/>
  <c r="Y208" i="12"/>
  <c r="X208" i="12" s="1"/>
  <c r="AM210" i="5"/>
  <c r="I210" i="12"/>
  <c r="L210" i="5"/>
  <c r="Z210" i="5"/>
  <c r="G211" i="12"/>
  <c r="D213" i="6"/>
  <c r="J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H212" i="6"/>
  <c r="T212" i="5" s="1"/>
  <c r="AB209" i="5"/>
  <c r="C209" i="6"/>
  <c r="C209" i="12"/>
  <c r="AO209" i="12"/>
  <c r="O209" i="12"/>
  <c r="M209" i="12"/>
  <c r="AZ211" i="6" l="1"/>
  <c r="AO211" i="6"/>
  <c r="BB211" i="6"/>
  <c r="BA211" i="6"/>
  <c r="AB211" i="6"/>
  <c r="AM211" i="6"/>
  <c r="AQ211" i="6"/>
  <c r="AG211" i="6"/>
  <c r="BG211" i="6"/>
  <c r="AU211" i="6"/>
  <c r="AP211" i="6"/>
  <c r="AF211" i="6"/>
  <c r="AD211" i="6"/>
  <c r="AH211" i="6"/>
  <c r="AX211" i="6"/>
  <c r="AJ211" i="6"/>
  <c r="BC211" i="6"/>
  <c r="AK211" i="6"/>
  <c r="AI211" i="6"/>
  <c r="BF211" i="6"/>
  <c r="AE211" i="6"/>
  <c r="AV211" i="6"/>
  <c r="AN211" i="6"/>
  <c r="AY211" i="6"/>
  <c r="BD211" i="6"/>
  <c r="AR211" i="6"/>
  <c r="AC211" i="6"/>
  <c r="BE211" i="6"/>
  <c r="AS211" i="6"/>
  <c r="W208" i="12"/>
  <c r="U208" i="12" s="1"/>
  <c r="T207" i="12"/>
  <c r="U207" i="12"/>
  <c r="BG212" i="6"/>
  <c r="AM212" i="6"/>
  <c r="AD212" i="6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C210" i="12"/>
  <c r="AO210" i="12"/>
  <c r="O210" i="12"/>
  <c r="M210" i="12"/>
  <c r="Y209" i="12"/>
  <c r="AX212" i="6"/>
  <c r="AG212" i="6"/>
  <c r="BE212" i="6"/>
  <c r="G212" i="12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C216" i="5" s="1"/>
  <c r="R216" i="5" s="1"/>
  <c r="AD215" i="5"/>
  <c r="F215" i="5"/>
  <c r="K215" i="5"/>
  <c r="A213" i="6"/>
  <c r="M213" i="6" s="1"/>
  <c r="AB210" i="5"/>
  <c r="C210" i="6"/>
  <c r="V208" i="12" l="1"/>
  <c r="T208" i="12"/>
  <c r="N210" i="12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H214" i="6"/>
  <c r="T214" i="5" s="1"/>
  <c r="A214" i="6"/>
  <c r="M214" i="6" s="1"/>
  <c r="X209" i="12"/>
  <c r="W209" i="12"/>
  <c r="G213" i="12"/>
  <c r="X213" i="5"/>
  <c r="AK213" i="6"/>
  <c r="N216" i="5"/>
  <c r="B216" i="5"/>
  <c r="E216" i="5"/>
  <c r="W216" i="5"/>
  <c r="H216" i="12" s="1"/>
  <c r="C217" i="5"/>
  <c r="G216" i="5"/>
  <c r="AD216" i="5"/>
  <c r="F216" i="5"/>
  <c r="AE216" i="5"/>
  <c r="A216" i="12"/>
  <c r="B216" i="6"/>
  <c r="H216" i="5"/>
  <c r="L215" i="12"/>
  <c r="J215" i="12"/>
  <c r="D215" i="6"/>
  <c r="Y210" i="12"/>
  <c r="AE213" i="6"/>
  <c r="AI213" i="6"/>
  <c r="AH213" i="6"/>
  <c r="AD213" i="6"/>
  <c r="AJ213" i="6"/>
  <c r="AF213" i="6"/>
  <c r="K214" i="12"/>
  <c r="A215" i="6" l="1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W210" i="12"/>
  <c r="X210" i="12"/>
  <c r="B217" i="5"/>
  <c r="N217" i="5"/>
  <c r="K217" i="5"/>
  <c r="E217" i="5"/>
  <c r="AE217" i="5"/>
  <c r="D217" i="5"/>
  <c r="B217" i="12" s="1"/>
  <c r="F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K215" i="12"/>
  <c r="I213" i="12"/>
  <c r="AM213" i="5"/>
  <c r="L213" i="5"/>
  <c r="Z213" i="5"/>
  <c r="T209" i="12"/>
  <c r="U209" i="12"/>
  <c r="V209" i="12"/>
  <c r="AK214" i="6"/>
  <c r="AE214" i="6"/>
  <c r="AG214" i="6"/>
  <c r="AB214" i="6"/>
  <c r="AC214" i="6"/>
  <c r="M215" i="6" l="1"/>
  <c r="AF215" i="6" s="1"/>
  <c r="AB213" i="5"/>
  <c r="I214" i="12"/>
  <c r="AM214" i="5"/>
  <c r="L214" i="5"/>
  <c r="Z214" i="5"/>
  <c r="H216" i="6"/>
  <c r="T216" i="5" s="1"/>
  <c r="L217" i="12"/>
  <c r="J217" i="12"/>
  <c r="B218" i="6"/>
  <c r="AD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D217" i="6"/>
  <c r="A216" i="6"/>
  <c r="U210" i="12"/>
  <c r="T210" i="12"/>
  <c r="V210" i="12"/>
  <c r="C213" i="6"/>
  <c r="C213" i="12"/>
  <c r="O213" i="12"/>
  <c r="AO213" i="12"/>
  <c r="M213" i="12"/>
  <c r="G215" i="12"/>
  <c r="X215" i="5"/>
  <c r="AX215" i="6" l="1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217" i="6"/>
  <c r="K217" i="12"/>
  <c r="M216" i="6"/>
  <c r="AU216" i="6" s="1"/>
  <c r="I215" i="12"/>
  <c r="L215" i="5"/>
  <c r="AM215" i="5"/>
  <c r="Z215" i="5"/>
  <c r="N213" i="12"/>
  <c r="L218" i="12"/>
  <c r="J218" i="12"/>
  <c r="D218" i="6"/>
  <c r="Y213" i="12"/>
  <c r="H217" i="6"/>
  <c r="T217" i="5" s="1"/>
  <c r="B219" i="6"/>
  <c r="A219" i="12"/>
  <c r="K219" i="5"/>
  <c r="F219" i="5"/>
  <c r="AE219" i="5"/>
  <c r="N219" i="5"/>
  <c r="H219" i="5"/>
  <c r="D219" i="5"/>
  <c r="B219" i="12" s="1"/>
  <c r="B219" i="5"/>
  <c r="C220" i="5" s="1"/>
  <c r="R220" i="5" s="1"/>
  <c r="G219" i="5"/>
  <c r="AD219" i="5"/>
  <c r="W219" i="5"/>
  <c r="H219" i="12" s="1"/>
  <c r="E219" i="5"/>
  <c r="J219" i="5"/>
  <c r="G216" i="12"/>
  <c r="AB214" i="5"/>
  <c r="C214" i="6"/>
  <c r="C214" i="12"/>
  <c r="AO214" i="12"/>
  <c r="M214" i="12"/>
  <c r="O214" i="12"/>
  <c r="A218" i="6" l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N214" i="12"/>
  <c r="AE216" i="6"/>
  <c r="AV216" i="6"/>
  <c r="AZ216" i="6"/>
  <c r="BF216" i="6"/>
  <c r="AK216" i="6"/>
  <c r="AM216" i="6"/>
  <c r="BC216" i="6"/>
  <c r="AJ216" i="6"/>
  <c r="BG216" i="6"/>
  <c r="Y214" i="12"/>
  <c r="G220" i="5"/>
  <c r="B220" i="6"/>
  <c r="AE220" i="5"/>
  <c r="C221" i="5"/>
  <c r="W220" i="5"/>
  <c r="H220" i="12" s="1"/>
  <c r="H220" i="5"/>
  <c r="N220" i="5"/>
  <c r="F220" i="5"/>
  <c r="E220" i="5"/>
  <c r="A220" i="12"/>
  <c r="B220" i="5"/>
  <c r="AD220" i="5"/>
  <c r="G217" i="12"/>
  <c r="X217" i="5"/>
  <c r="H218" i="6"/>
  <c r="T218" i="5" s="1"/>
  <c r="K218" i="12"/>
  <c r="C215" i="6"/>
  <c r="D219" i="6"/>
  <c r="L219" i="12"/>
  <c r="J219" i="12"/>
  <c r="X213" i="12"/>
  <c r="W213" i="12"/>
  <c r="AB215" i="5"/>
  <c r="C215" i="12"/>
  <c r="M215" i="12"/>
  <c r="AO215" i="12"/>
  <c r="O215" i="12"/>
  <c r="M218" i="6" l="1"/>
  <c r="BD218" i="6" s="1"/>
  <c r="AV217" i="6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D220" i="6"/>
  <c r="AD221" i="5"/>
  <c r="F221" i="5"/>
  <c r="D221" i="5"/>
  <c r="B221" i="12" s="1"/>
  <c r="E221" i="5"/>
  <c r="A221" i="12"/>
  <c r="K221" i="5"/>
  <c r="H221" i="5"/>
  <c r="B221" i="6"/>
  <c r="N221" i="5"/>
  <c r="B221" i="5"/>
  <c r="C222" i="5" s="1"/>
  <c r="R222" i="5" s="1"/>
  <c r="AE221" i="5"/>
  <c r="W221" i="5"/>
  <c r="H221" i="12" s="1"/>
  <c r="G221" i="5"/>
  <c r="J221" i="5"/>
  <c r="Y215" i="12"/>
  <c r="K219" i="12"/>
  <c r="H219" i="6"/>
  <c r="T219" i="5" s="1"/>
  <c r="G218" i="12"/>
  <c r="X218" i="5"/>
  <c r="W214" i="12"/>
  <c r="X214" i="12"/>
  <c r="AN218" i="6" l="1"/>
  <c r="BA218" i="6"/>
  <c r="AP218" i="6"/>
  <c r="AS218" i="6"/>
  <c r="BB218" i="6"/>
  <c r="AF218" i="6"/>
  <c r="AH218" i="6"/>
  <c r="AJ218" i="6"/>
  <c r="BC218" i="6"/>
  <c r="AX218" i="6"/>
  <c r="AT218" i="6"/>
  <c r="AG218" i="6"/>
  <c r="AC218" i="6"/>
  <c r="BF218" i="6"/>
  <c r="AB218" i="6"/>
  <c r="AK218" i="6"/>
  <c r="AZ218" i="6"/>
  <c r="BE218" i="6"/>
  <c r="AD218" i="6"/>
  <c r="AY218" i="6"/>
  <c r="AV218" i="6"/>
  <c r="AE218" i="6"/>
  <c r="AI218" i="6"/>
  <c r="AQ218" i="6"/>
  <c r="AO218" i="6"/>
  <c r="AM218" i="6"/>
  <c r="AR218" i="6"/>
  <c r="AU218" i="6"/>
  <c r="BG218" i="6"/>
  <c r="AM219" i="6"/>
  <c r="AE219" i="6"/>
  <c r="AB219" i="6"/>
  <c r="AD219" i="6"/>
  <c r="BG219" i="6"/>
  <c r="AR219" i="6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B222" i="6"/>
  <c r="AE222" i="5"/>
  <c r="N222" i="5"/>
  <c r="AD222" i="5"/>
  <c r="F222" i="5"/>
  <c r="C223" i="5"/>
  <c r="R223" i="5" s="1"/>
  <c r="W222" i="5"/>
  <c r="H222" i="12" s="1"/>
  <c r="E222" i="5"/>
  <c r="L221" i="12"/>
  <c r="J221" i="12"/>
  <c r="H220" i="6"/>
  <c r="T220" i="5" s="1"/>
  <c r="C217" i="6"/>
  <c r="A220" i="6"/>
  <c r="I218" i="12"/>
  <c r="L218" i="5"/>
  <c r="AM218" i="5"/>
  <c r="Z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D221" i="6"/>
  <c r="AB217" i="5"/>
  <c r="C217" i="12"/>
  <c r="AO217" i="12"/>
  <c r="O217" i="12"/>
  <c r="M217" i="12"/>
  <c r="N217" i="12" l="1"/>
  <c r="H221" i="6"/>
  <c r="T221" i="5" s="1"/>
  <c r="C218" i="6"/>
  <c r="A221" i="6"/>
  <c r="D222" i="6"/>
  <c r="V215" i="12"/>
  <c r="U215" i="12"/>
  <c r="T215" i="12"/>
  <c r="Y217" i="12"/>
  <c r="AM219" i="5"/>
  <c r="I219" i="12"/>
  <c r="L219" i="5"/>
  <c r="Z219" i="5"/>
  <c r="AB218" i="5"/>
  <c r="C218" i="12"/>
  <c r="O218" i="12"/>
  <c r="AO218" i="12"/>
  <c r="M218" i="12"/>
  <c r="M220" i="6"/>
  <c r="G220" i="12"/>
  <c r="K221" i="12"/>
  <c r="F223" i="5"/>
  <c r="B223" i="6"/>
  <c r="AD223" i="5"/>
  <c r="W223" i="5"/>
  <c r="H223" i="12" s="1"/>
  <c r="B223" i="5"/>
  <c r="AE223" i="5"/>
  <c r="H223" i="5"/>
  <c r="N223" i="5"/>
  <c r="G223" i="5"/>
  <c r="E223" i="5"/>
  <c r="C224" i="5"/>
  <c r="A223" i="12"/>
  <c r="M221" i="6" l="1"/>
  <c r="AX221" i="6" s="1"/>
  <c r="D223" i="6"/>
  <c r="N218" i="12"/>
  <c r="AB219" i="5"/>
  <c r="AA219" i="5"/>
  <c r="C219" i="12"/>
  <c r="M219" i="12"/>
  <c r="AO219" i="12"/>
  <c r="O219" i="12"/>
  <c r="W217" i="12"/>
  <c r="X217" i="12"/>
  <c r="H222" i="6"/>
  <c r="T222" i="5" s="1"/>
  <c r="A222" i="6"/>
  <c r="E224" i="5"/>
  <c r="F224" i="5"/>
  <c r="K224" i="5"/>
  <c r="W224" i="5"/>
  <c r="H224" i="12" s="1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G221" i="12"/>
  <c r="X221" i="5"/>
  <c r="AQ221" i="6" l="1"/>
  <c r="BB221" i="6"/>
  <c r="AD221" i="6"/>
  <c r="BA221" i="6"/>
  <c r="AN221" i="6"/>
  <c r="AT221" i="6"/>
  <c r="BG221" i="6"/>
  <c r="AO221" i="6"/>
  <c r="AC221" i="6"/>
  <c r="AZ221" i="6"/>
  <c r="BD221" i="6"/>
  <c r="AY221" i="6"/>
  <c r="AF221" i="6"/>
  <c r="AH221" i="6"/>
  <c r="AG221" i="6"/>
  <c r="BE221" i="6"/>
  <c r="AI221" i="6"/>
  <c r="AR221" i="6"/>
  <c r="AM221" i="6"/>
  <c r="AE221" i="6"/>
  <c r="AB221" i="6"/>
  <c r="AU221" i="6"/>
  <c r="AV221" i="6"/>
  <c r="BF221" i="6"/>
  <c r="AS221" i="6"/>
  <c r="AJ221" i="6"/>
  <c r="AK221" i="6"/>
  <c r="AP221" i="6"/>
  <c r="BC221" i="6"/>
  <c r="N219" i="12"/>
  <c r="M222" i="6"/>
  <c r="AC222" i="6" s="1"/>
  <c r="Y219" i="12"/>
  <c r="X219" i="12" s="1"/>
  <c r="A223" i="6"/>
  <c r="E219" i="6"/>
  <c r="D219" i="12"/>
  <c r="X218" i="12"/>
  <c r="W218" i="12"/>
  <c r="L224" i="12"/>
  <c r="J224" i="12"/>
  <c r="D224" i="6"/>
  <c r="U217" i="12"/>
  <c r="T217" i="12"/>
  <c r="V217" i="12"/>
  <c r="H223" i="6"/>
  <c r="T223" i="5" s="1"/>
  <c r="L221" i="5"/>
  <c r="AM221" i="5"/>
  <c r="I221" i="12"/>
  <c r="Z221" i="5"/>
  <c r="K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BE222" i="6" l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BC222" i="6"/>
  <c r="AH222" i="6"/>
  <c r="AM222" i="6"/>
  <c r="AP222" i="6"/>
  <c r="AT222" i="6"/>
  <c r="AU222" i="6"/>
  <c r="BG222" i="6"/>
  <c r="AD222" i="6"/>
  <c r="AE226" i="5"/>
  <c r="G226" i="5"/>
  <c r="E226" i="5"/>
  <c r="AD226" i="5"/>
  <c r="W226" i="5"/>
  <c r="H226" i="12" s="1"/>
  <c r="F226" i="5"/>
  <c r="B226" i="5"/>
  <c r="D226" i="5"/>
  <c r="B226" i="12" s="1"/>
  <c r="J226" i="5"/>
  <c r="C227" i="5"/>
  <c r="B226" i="6"/>
  <c r="H226" i="5"/>
  <c r="N226" i="5"/>
  <c r="A226" i="12"/>
  <c r="K226" i="5"/>
  <c r="AB221" i="5"/>
  <c r="H224" i="6"/>
  <c r="T224" i="5" s="1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G223" i="12"/>
  <c r="K224" i="12"/>
  <c r="BF223" i="6" l="1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M224" i="6"/>
  <c r="AM224" i="6" s="1"/>
  <c r="K225" i="12"/>
  <c r="D226" i="6"/>
  <c r="E227" i="5"/>
  <c r="F227" i="5"/>
  <c r="B227" i="5"/>
  <c r="H227" i="5"/>
  <c r="J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N221" i="12"/>
  <c r="H225" i="6"/>
  <c r="T225" i="5" s="1"/>
  <c r="A225" i="6"/>
  <c r="M225" i="6" s="1"/>
  <c r="G224" i="12"/>
  <c r="X224" i="5"/>
  <c r="L226" i="12"/>
  <c r="J226" i="12"/>
  <c r="X221" i="12" l="1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I224" i="12"/>
  <c r="L224" i="5"/>
  <c r="AM224" i="5"/>
  <c r="Z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D227" i="6"/>
  <c r="H226" i="6"/>
  <c r="T226" i="5" s="1"/>
  <c r="BF226" i="6" l="1"/>
  <c r="BD226" i="6"/>
  <c r="AM226" i="6"/>
  <c r="AO226" i="6"/>
  <c r="AS226" i="6"/>
  <c r="AP226" i="6"/>
  <c r="AV226" i="6"/>
  <c r="AU226" i="6"/>
  <c r="AX226" i="6"/>
  <c r="BE226" i="6"/>
  <c r="AE226" i="6"/>
  <c r="BB226" i="6"/>
  <c r="AC226" i="6"/>
  <c r="AJ226" i="6"/>
  <c r="AD226" i="6"/>
  <c r="AK226" i="6"/>
  <c r="H227" i="6"/>
  <c r="T227" i="5" s="1"/>
  <c r="B229" i="5"/>
  <c r="F229" i="5"/>
  <c r="A229" i="12"/>
  <c r="D229" i="5"/>
  <c r="B229" i="12" s="1"/>
  <c r="J229" i="5"/>
  <c r="E229" i="5"/>
  <c r="AD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D228" i="6"/>
  <c r="I225" i="12"/>
  <c r="AM225" i="5"/>
  <c r="L225" i="5"/>
  <c r="Z225" i="5"/>
  <c r="AB224" i="5"/>
  <c r="C224" i="6"/>
  <c r="K227" i="12"/>
  <c r="Y224" i="12" l="1"/>
  <c r="X224" i="12" s="1"/>
  <c r="N224" i="12"/>
  <c r="K228" i="12"/>
  <c r="AB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H230" i="5"/>
  <c r="M227" i="6"/>
  <c r="AK227" i="6" s="1"/>
  <c r="G227" i="12"/>
  <c r="X227" i="5"/>
  <c r="C225" i="6"/>
  <c r="C225" i="12"/>
  <c r="M225" i="12"/>
  <c r="O225" i="12"/>
  <c r="AO225" i="12"/>
  <c r="H228" i="6"/>
  <c r="T228" i="5" s="1"/>
  <c r="I226" i="12"/>
  <c r="AM226" i="5"/>
  <c r="L226" i="5"/>
  <c r="Z226" i="5"/>
  <c r="D229" i="6"/>
  <c r="L229" i="12"/>
  <c r="J229" i="12"/>
  <c r="W224" i="12" l="1"/>
  <c r="U224" i="12" s="1"/>
  <c r="A229" i="6"/>
  <c r="M229" i="6" s="1"/>
  <c r="AJ227" i="6"/>
  <c r="BC228" i="6"/>
  <c r="K229" i="12"/>
  <c r="AQ228" i="6"/>
  <c r="AO228" i="6"/>
  <c r="AI228" i="6"/>
  <c r="BG228" i="6"/>
  <c r="Y225" i="12"/>
  <c r="W225" i="12" s="1"/>
  <c r="AG227" i="6"/>
  <c r="AB226" i="5"/>
  <c r="AH228" i="6"/>
  <c r="AY228" i="6"/>
  <c r="BB228" i="6"/>
  <c r="AB228" i="6"/>
  <c r="AF228" i="6"/>
  <c r="AU228" i="6"/>
  <c r="AM228" i="6"/>
  <c r="AK228" i="6"/>
  <c r="AJ228" i="6"/>
  <c r="BD228" i="6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AD231" i="5"/>
  <c r="H231" i="5"/>
  <c r="B231" i="5"/>
  <c r="AD227" i="6"/>
  <c r="AH227" i="6"/>
  <c r="H229" i="6"/>
  <c r="T229" i="5" s="1"/>
  <c r="C226" i="6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T224" i="12" l="1"/>
  <c r="V224" i="12"/>
  <c r="X225" i="12"/>
  <c r="A230" i="6"/>
  <c r="M230" i="6" s="1"/>
  <c r="AR230" i="6" s="1"/>
  <c r="AC229" i="6"/>
  <c r="AK229" i="6"/>
  <c r="AH229" i="6"/>
  <c r="AJ229" i="6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X226" i="12"/>
  <c r="AB227" i="5"/>
  <c r="C227" i="12"/>
  <c r="AO227" i="12"/>
  <c r="M227" i="12"/>
  <c r="O227" i="12"/>
  <c r="V225" i="12"/>
  <c r="U225" i="12"/>
  <c r="T225" i="12"/>
  <c r="K230" i="12"/>
  <c r="H230" i="6"/>
  <c r="T230" i="5" s="1"/>
  <c r="L228" i="5"/>
  <c r="I228" i="12"/>
  <c r="AM228" i="5"/>
  <c r="Z228" i="5"/>
  <c r="N226" i="12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D231" i="6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A231" i="6" l="1"/>
  <c r="M231" i="6" s="1"/>
  <c r="AQ231" i="6" s="1"/>
  <c r="AO230" i="6"/>
  <c r="AM230" i="6"/>
  <c r="AS230" i="6"/>
  <c r="BB230" i="6"/>
  <c r="AU230" i="6"/>
  <c r="BD230" i="6"/>
  <c r="BE230" i="6"/>
  <c r="BF230" i="6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B233" i="6"/>
  <c r="W233" i="5"/>
  <c r="H233" i="12" s="1"/>
  <c r="D233" i="5"/>
  <c r="B233" i="12" s="1"/>
  <c r="D232" i="6"/>
  <c r="AB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K231" i="12"/>
  <c r="J232" i="12"/>
  <c r="L232" i="12"/>
  <c r="H231" i="6"/>
  <c r="T231" i="5" s="1"/>
  <c r="I229" i="12"/>
  <c r="AM229" i="5"/>
  <c r="L229" i="5"/>
  <c r="Z229" i="5"/>
  <c r="C228" i="6"/>
  <c r="AB230" i="6"/>
  <c r="AE230" i="6"/>
  <c r="AG230" i="6"/>
  <c r="AK230" i="6"/>
  <c r="AJ230" i="6"/>
  <c r="A232" i="6" l="1"/>
  <c r="M232" i="6" s="1"/>
  <c r="AM232" i="6" s="1"/>
  <c r="Y228" i="12"/>
  <c r="W228" i="12" s="1"/>
  <c r="AR231" i="6"/>
  <c r="BE231" i="6"/>
  <c r="BD231" i="6"/>
  <c r="BA231" i="6"/>
  <c r="AS231" i="6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AB229" i="5"/>
  <c r="X227" i="12"/>
  <c r="W227" i="12"/>
  <c r="L230" i="5"/>
  <c r="AM230" i="5"/>
  <c r="I230" i="12"/>
  <c r="Z230" i="5"/>
  <c r="L233" i="12"/>
  <c r="J233" i="12"/>
  <c r="C229" i="6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H232" i="6"/>
  <c r="T232" i="5" s="1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T228" i="12"/>
  <c r="U228" i="12"/>
  <c r="V228" i="12"/>
  <c r="AB230" i="5"/>
  <c r="T227" i="12"/>
  <c r="V227" i="12"/>
  <c r="U227" i="12"/>
  <c r="H233" i="6"/>
  <c r="T233" i="5" s="1"/>
  <c r="N235" i="5"/>
  <c r="H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Y230" i="12" l="1"/>
  <c r="X230" i="12" s="1"/>
  <c r="X229" i="12"/>
  <c r="N230" i="12"/>
  <c r="AM232" i="5"/>
  <c r="L232" i="5"/>
  <c r="I232" i="12"/>
  <c r="Z232" i="5"/>
  <c r="AD236" i="5"/>
  <c r="E236" i="5"/>
  <c r="B236" i="5"/>
  <c r="A236" i="12"/>
  <c r="J236" i="5"/>
  <c r="C237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D235" i="6"/>
  <c r="G233" i="12"/>
  <c r="X233" i="5"/>
  <c r="U229" i="12"/>
  <c r="V229" i="12"/>
  <c r="T229" i="12"/>
  <c r="AB231" i="5"/>
  <c r="C231" i="12"/>
  <c r="M231" i="12"/>
  <c r="AO231" i="12"/>
  <c r="O231" i="12"/>
  <c r="H234" i="6"/>
  <c r="T234" i="5" s="1"/>
  <c r="K234" i="12"/>
  <c r="W230" i="12" l="1"/>
  <c r="U230" i="12" s="1"/>
  <c r="N231" i="12"/>
  <c r="M234" i="6"/>
  <c r="AY234" i="6" s="1"/>
  <c r="A235" i="6"/>
  <c r="G234" i="12"/>
  <c r="X234" i="5"/>
  <c r="I233" i="12"/>
  <c r="AM233" i="5"/>
  <c r="L233" i="5"/>
  <c r="Z233" i="5"/>
  <c r="H235" i="6"/>
  <c r="T235" i="5" s="1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B232" i="5"/>
  <c r="C232" i="6"/>
  <c r="Y231" i="12"/>
  <c r="AK233" i="6"/>
  <c r="AG233" i="6"/>
  <c r="D236" i="6"/>
  <c r="C232" i="12"/>
  <c r="O232" i="12"/>
  <c r="AO232" i="12"/>
  <c r="M232" i="12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K236" i="12"/>
  <c r="N232" i="12"/>
  <c r="X231" i="12"/>
  <c r="W231" i="12"/>
  <c r="B238" i="6"/>
  <c r="N238" i="5"/>
  <c r="C239" i="5"/>
  <c r="A238" i="12"/>
  <c r="K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B233" i="5"/>
  <c r="I234" i="12"/>
  <c r="L234" i="5"/>
  <c r="AM234" i="5"/>
  <c r="Z234" i="5"/>
  <c r="Y232" i="12"/>
  <c r="H236" i="6"/>
  <c r="T236" i="5" s="1"/>
  <c r="D237" i="6"/>
  <c r="J237" i="12"/>
  <c r="L237" i="12"/>
  <c r="A236" i="6"/>
  <c r="C233" i="6"/>
  <c r="C233" i="12"/>
  <c r="AO233" i="12"/>
  <c r="M233" i="12"/>
  <c r="O233" i="12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K237" i="12"/>
  <c r="M236" i="6"/>
  <c r="AB236" i="6" s="1"/>
  <c r="H237" i="6"/>
  <c r="T237" i="5" s="1"/>
  <c r="AB234" i="5"/>
  <c r="C234" i="6"/>
  <c r="L235" i="5"/>
  <c r="AM235" i="5"/>
  <c r="I235" i="12"/>
  <c r="Z235" i="5"/>
  <c r="J238" i="12"/>
  <c r="L238" i="12"/>
  <c r="D238" i="6"/>
  <c r="A237" i="6"/>
  <c r="M237" i="6" s="1"/>
  <c r="N233" i="12"/>
  <c r="Y233" i="12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J239" i="5"/>
  <c r="G239" i="5"/>
  <c r="H239" i="5"/>
  <c r="D239" i="5"/>
  <c r="B239" i="12" s="1"/>
  <c r="N239" i="5"/>
  <c r="A239" i="12"/>
  <c r="U231" i="12"/>
  <c r="T231" i="12"/>
  <c r="V231" i="12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AB235" i="5"/>
  <c r="C235" i="12"/>
  <c r="O235" i="12"/>
  <c r="AO235" i="12"/>
  <c r="M235" i="12"/>
  <c r="C235" i="6"/>
  <c r="G237" i="12"/>
  <c r="X237" i="5"/>
  <c r="AG237" i="6"/>
  <c r="AB237" i="6"/>
  <c r="AF237" i="6"/>
  <c r="AI237" i="6"/>
  <c r="AE237" i="6"/>
  <c r="L239" i="12"/>
  <c r="J239" i="12"/>
  <c r="G240" i="5"/>
  <c r="J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X233" i="12"/>
  <c r="W233" i="12"/>
  <c r="H238" i="6"/>
  <c r="T238" i="5" s="1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X234" i="12" l="1"/>
  <c r="M238" i="6"/>
  <c r="BB238" i="6" s="1"/>
  <c r="A239" i="6"/>
  <c r="M239" i="6" s="1"/>
  <c r="AS239" i="6" s="1"/>
  <c r="C236" i="6"/>
  <c r="K239" i="12"/>
  <c r="I237" i="12"/>
  <c r="L237" i="5"/>
  <c r="AM237" i="5"/>
  <c r="Z237" i="5"/>
  <c r="N235" i="12"/>
  <c r="V234" i="12"/>
  <c r="U234" i="12"/>
  <c r="T234" i="12"/>
  <c r="G238" i="12"/>
  <c r="X238" i="5"/>
  <c r="T233" i="12"/>
  <c r="V233" i="12"/>
  <c r="U233" i="12"/>
  <c r="AB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D240" i="6"/>
  <c r="Y235" i="12"/>
  <c r="H239" i="6"/>
  <c r="T239" i="5" s="1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H240" i="6"/>
  <c r="T240" i="5" s="1"/>
  <c r="A240" i="6"/>
  <c r="AB237" i="5"/>
  <c r="C237" i="12"/>
  <c r="O237" i="12"/>
  <c r="AO237" i="12"/>
  <c r="M237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J241" i="12"/>
  <c r="L241" i="12"/>
  <c r="A242" i="12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C237" i="6"/>
  <c r="W236" i="12" l="1"/>
  <c r="V236" i="12" s="1"/>
  <c r="K241" i="12"/>
  <c r="C238" i="6"/>
  <c r="H241" i="6"/>
  <c r="T241" i="5" s="1"/>
  <c r="B243" i="6"/>
  <c r="C244" i="5"/>
  <c r="H243" i="5"/>
  <c r="A243" i="12"/>
  <c r="W243" i="5"/>
  <c r="H243" i="12" s="1"/>
  <c r="F243" i="5"/>
  <c r="E243" i="5"/>
  <c r="G243" i="5"/>
  <c r="K243" i="5"/>
  <c r="D243" i="5"/>
  <c r="B243" i="12" s="1"/>
  <c r="AD243" i="5"/>
  <c r="N243" i="5"/>
  <c r="B243" i="5"/>
  <c r="AE243" i="5"/>
  <c r="J243" i="5"/>
  <c r="U235" i="12"/>
  <c r="T235" i="12"/>
  <c r="V235" i="12"/>
  <c r="N237" i="12"/>
  <c r="A241" i="6"/>
  <c r="M241" i="6" s="1"/>
  <c r="I239" i="12"/>
  <c r="AM239" i="5"/>
  <c r="L239" i="5"/>
  <c r="Z239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U236" i="12" l="1"/>
  <c r="T236" i="12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AB239" i="5"/>
  <c r="C239" i="6"/>
  <c r="C239" i="12"/>
  <c r="O239" i="12"/>
  <c r="AO239" i="12"/>
  <c r="M239" i="12"/>
  <c r="D243" i="6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L243" i="12"/>
  <c r="J243" i="12"/>
  <c r="C245" i="5"/>
  <c r="AD244" i="5"/>
  <c r="F244" i="5"/>
  <c r="K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Z242" i="6" l="1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D244" i="6"/>
  <c r="F245" i="5"/>
  <c r="C246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N239" i="12"/>
  <c r="G242" i="12"/>
  <c r="X242" i="5"/>
  <c r="L244" i="12"/>
  <c r="J244" i="12"/>
  <c r="K243" i="12"/>
  <c r="T237" i="12"/>
  <c r="U237" i="12"/>
  <c r="V237" i="12"/>
  <c r="AB240" i="5"/>
  <c r="A243" i="6"/>
  <c r="H243" i="6"/>
  <c r="T243" i="5" s="1"/>
  <c r="Y239" i="12"/>
  <c r="AE242" i="6"/>
  <c r="AI242" i="6"/>
  <c r="AB242" i="6"/>
  <c r="AD242" i="6"/>
  <c r="AC242" i="6"/>
  <c r="A244" i="6" l="1"/>
  <c r="K244" i="12"/>
  <c r="N240" i="12"/>
  <c r="G243" i="12"/>
  <c r="X243" i="5"/>
  <c r="U238" i="12"/>
  <c r="T238" i="12"/>
  <c r="V238" i="12"/>
  <c r="H244" i="6"/>
  <c r="T244" i="5" s="1"/>
  <c r="C241" i="12"/>
  <c r="M241" i="12"/>
  <c r="AO241" i="12"/>
  <c r="O241" i="12"/>
  <c r="C241" i="6"/>
  <c r="X239" i="12"/>
  <c r="W239" i="12"/>
  <c r="M243" i="6"/>
  <c r="AF243" i="6" s="1"/>
  <c r="L242" i="5"/>
  <c r="AM242" i="5"/>
  <c r="I242" i="12"/>
  <c r="Z242" i="5"/>
  <c r="Y240" i="12"/>
  <c r="J245" i="12"/>
  <c r="L245" i="12"/>
  <c r="D245" i="6"/>
  <c r="AD246" i="5"/>
  <c r="AE246" i="5"/>
  <c r="K246" i="5"/>
  <c r="G246" i="5"/>
  <c r="J246" i="5"/>
  <c r="A246" i="12"/>
  <c r="E246" i="5"/>
  <c r="F246" i="5"/>
  <c r="W246" i="5"/>
  <c r="H246" i="12" s="1"/>
  <c r="N246" i="5"/>
  <c r="H246" i="5"/>
  <c r="D246" i="5"/>
  <c r="B246" i="12" s="1"/>
  <c r="B246" i="5"/>
  <c r="C247" i="5" s="1"/>
  <c r="R247" i="5" s="1"/>
  <c r="B246" i="6"/>
  <c r="AB241" i="5"/>
  <c r="M244" i="6" l="1"/>
  <c r="AU244" i="6" s="1"/>
  <c r="N241" i="12"/>
  <c r="K245" i="12"/>
  <c r="AD247" i="5"/>
  <c r="W247" i="5"/>
  <c r="H247" i="12" s="1"/>
  <c r="N247" i="5"/>
  <c r="E247" i="5"/>
  <c r="G247" i="5"/>
  <c r="A247" i="12"/>
  <c r="AE247" i="5"/>
  <c r="C248" i="5"/>
  <c r="B247" i="5"/>
  <c r="H247" i="5"/>
  <c r="B247" i="6"/>
  <c r="F247" i="5"/>
  <c r="H245" i="6"/>
  <c r="T245" i="5" s="1"/>
  <c r="X240" i="12"/>
  <c r="W240" i="12"/>
  <c r="AB242" i="5"/>
  <c r="C242" i="12"/>
  <c r="AO242" i="12"/>
  <c r="M242" i="12"/>
  <c r="O242" i="12"/>
  <c r="C242" i="6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A245" i="6"/>
  <c r="M245" i="6" s="1"/>
  <c r="AI243" i="6"/>
  <c r="AH243" i="6"/>
  <c r="AM243" i="5"/>
  <c r="I243" i="12"/>
  <c r="L243" i="5"/>
  <c r="Z243" i="5"/>
  <c r="D246" i="6"/>
  <c r="L246" i="12"/>
  <c r="J246" i="12"/>
  <c r="AK243" i="6"/>
  <c r="AG243" i="6"/>
  <c r="AC243" i="6"/>
  <c r="Y241" i="12"/>
  <c r="G244" i="12"/>
  <c r="X244" i="5"/>
  <c r="AJ243" i="6"/>
  <c r="AD243" i="6"/>
  <c r="AJ244" i="6" l="1"/>
  <c r="AG244" i="6"/>
  <c r="AH244" i="6"/>
  <c r="AC244" i="6"/>
  <c r="AI244" i="6"/>
  <c r="AY244" i="6"/>
  <c r="AD244" i="6"/>
  <c r="AV244" i="6"/>
  <c r="AM244" i="6"/>
  <c r="AB244" i="6"/>
  <c r="AK244" i="6"/>
  <c r="AN244" i="6"/>
  <c r="BE244" i="6"/>
  <c r="AR244" i="6"/>
  <c r="AZ244" i="6"/>
  <c r="AP244" i="6"/>
  <c r="AO244" i="6"/>
  <c r="AQ244" i="6"/>
  <c r="AF244" i="6"/>
  <c r="AE244" i="6"/>
  <c r="BB244" i="6"/>
  <c r="AS244" i="6"/>
  <c r="BA244" i="6"/>
  <c r="AT244" i="6"/>
  <c r="BC244" i="6"/>
  <c r="AX244" i="6"/>
  <c r="BF244" i="6"/>
  <c r="BD244" i="6"/>
  <c r="BG244" i="6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X241" i="12"/>
  <c r="W241" i="12"/>
  <c r="K246" i="12"/>
  <c r="H246" i="6"/>
  <c r="T246" i="5" s="1"/>
  <c r="C243" i="12"/>
  <c r="O243" i="12"/>
  <c r="AO243" i="12"/>
  <c r="M243" i="12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C249" i="5"/>
  <c r="N248" i="5"/>
  <c r="AE248" i="5"/>
  <c r="E248" i="5"/>
  <c r="AD248" i="5"/>
  <c r="A246" i="6"/>
  <c r="AB243" i="5"/>
  <c r="C243" i="6"/>
  <c r="AD245" i="6"/>
  <c r="AJ245" i="6"/>
  <c r="AC245" i="6"/>
  <c r="AH245" i="6"/>
  <c r="AI245" i="6"/>
  <c r="AF245" i="6"/>
  <c r="D247" i="6"/>
  <c r="Y243" i="12" l="1"/>
  <c r="W243" i="12" s="1"/>
  <c r="J248" i="12"/>
  <c r="L248" i="12"/>
  <c r="AM245" i="5"/>
  <c r="I245" i="12"/>
  <c r="L245" i="5"/>
  <c r="Z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A247" i="6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AD249" i="5"/>
  <c r="D249" i="5"/>
  <c r="B249" i="12" s="1"/>
  <c r="N249" i="5"/>
  <c r="N243" i="12"/>
  <c r="G246" i="12"/>
  <c r="X246" i="5"/>
  <c r="AB244" i="5"/>
  <c r="C244" i="6"/>
  <c r="AF246" i="6" l="1"/>
  <c r="Y244" i="12"/>
  <c r="X244" i="12" s="1"/>
  <c r="X243" i="12"/>
  <c r="A248" i="6"/>
  <c r="K248" i="12"/>
  <c r="J249" i="12"/>
  <c r="L249" i="12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C245" i="6"/>
  <c r="AC246" i="6"/>
  <c r="AM246" i="5"/>
  <c r="L246" i="5"/>
  <c r="I246" i="12"/>
  <c r="Z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E250" i="5"/>
  <c r="A250" i="12"/>
  <c r="H250" i="5"/>
  <c r="G247" i="12"/>
  <c r="N244" i="12"/>
  <c r="U242" i="12"/>
  <c r="T242" i="12"/>
  <c r="V242" i="12"/>
  <c r="C245" i="12"/>
  <c r="AO245" i="12"/>
  <c r="O245" i="12"/>
  <c r="M245" i="12"/>
  <c r="W244" i="12" l="1"/>
  <c r="U244" i="12" s="1"/>
  <c r="M248" i="6"/>
  <c r="BG248" i="6" s="1"/>
  <c r="A249" i="6"/>
  <c r="Y245" i="12"/>
  <c r="W245" i="12" s="1"/>
  <c r="K249" i="12"/>
  <c r="C246" i="6"/>
  <c r="O246" i="5"/>
  <c r="N245" i="12"/>
  <c r="J250" i="12"/>
  <c r="L250" i="12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E251" i="5"/>
  <c r="J251" i="5"/>
  <c r="H249" i="6"/>
  <c r="T249" i="5" s="1"/>
  <c r="AA246" i="5"/>
  <c r="AB246" i="5"/>
  <c r="C246" i="12"/>
  <c r="O246" i="12"/>
  <c r="AO246" i="12"/>
  <c r="M246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M249" i="6" l="1"/>
  <c r="BA249" i="6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K250" i="12"/>
  <c r="G249" i="12"/>
  <c r="X249" i="5"/>
  <c r="D251" i="6"/>
  <c r="G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H250" i="6"/>
  <c r="T250" i="5" s="1"/>
  <c r="T245" i="12"/>
  <c r="V245" i="12"/>
  <c r="U245" i="12"/>
  <c r="I248" i="12"/>
  <c r="L248" i="5"/>
  <c r="AM248" i="5"/>
  <c r="Z248" i="5"/>
  <c r="N246" i="12"/>
  <c r="J251" i="12"/>
  <c r="L251" i="12"/>
  <c r="E246" i="6"/>
  <c r="D246" i="12"/>
  <c r="A250" i="6"/>
  <c r="AB249" i="6" l="1"/>
  <c r="AF249" i="6"/>
  <c r="AN249" i="6"/>
  <c r="AU249" i="6"/>
  <c r="AV249" i="6"/>
  <c r="AZ249" i="6"/>
  <c r="AX249" i="6"/>
  <c r="AH249" i="6"/>
  <c r="AD249" i="6"/>
  <c r="AQ249" i="6"/>
  <c r="BC249" i="6"/>
  <c r="AC249" i="6"/>
  <c r="AT249" i="6"/>
  <c r="AI249" i="6"/>
  <c r="AS249" i="6"/>
  <c r="AK249" i="6"/>
  <c r="AO249" i="6"/>
  <c r="AR249" i="6"/>
  <c r="BB249" i="6"/>
  <c r="AM249" i="6"/>
  <c r="BF249" i="6"/>
  <c r="AJ249" i="6"/>
  <c r="AP249" i="6"/>
  <c r="AE249" i="6"/>
  <c r="BG249" i="6"/>
  <c r="BE249" i="6"/>
  <c r="AY249" i="6"/>
  <c r="BD249" i="6"/>
  <c r="AG249" i="6"/>
  <c r="W246" i="12"/>
  <c r="T246" i="12" s="1"/>
  <c r="C248" i="12"/>
  <c r="O248" i="12"/>
  <c r="AO248" i="12"/>
  <c r="M248" i="12"/>
  <c r="F253" i="5"/>
  <c r="N253" i="5"/>
  <c r="E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AM249" i="5"/>
  <c r="L249" i="5"/>
  <c r="I249" i="12"/>
  <c r="Z249" i="5"/>
  <c r="K251" i="12"/>
  <c r="A251" i="6"/>
  <c r="AB248" i="5"/>
  <c r="C248" i="6"/>
  <c r="G250" i="12"/>
  <c r="X250" i="5"/>
  <c r="M250" i="6"/>
  <c r="AK250" i="6" s="1"/>
  <c r="L252" i="12"/>
  <c r="J252" i="12"/>
  <c r="H251" i="6"/>
  <c r="T251" i="5" s="1"/>
  <c r="M251" i="6" l="1"/>
  <c r="BE251" i="6" s="1"/>
  <c r="V246" i="12"/>
  <c r="U246" i="12"/>
  <c r="A252" i="6"/>
  <c r="M252" i="6" s="1"/>
  <c r="BE252" i="6" s="1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H252" i="6"/>
  <c r="T252" i="5" s="1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A254" i="12"/>
  <c r="E254" i="5"/>
  <c r="K254" i="5"/>
  <c r="B254" i="6"/>
  <c r="D253" i="6"/>
  <c r="N248" i="12"/>
  <c r="G251" i="12"/>
  <c r="X251" i="5"/>
  <c r="K252" i="12"/>
  <c r="AB250" i="6"/>
  <c r="AM250" i="5"/>
  <c r="L250" i="5"/>
  <c r="I250" i="12"/>
  <c r="Z250" i="5"/>
  <c r="AB249" i="5"/>
  <c r="C249" i="12"/>
  <c r="M249" i="12"/>
  <c r="O249" i="12"/>
  <c r="AO249" i="12"/>
  <c r="L253" i="12"/>
  <c r="J253" i="12"/>
  <c r="Y248" i="12"/>
  <c r="AO251" i="6" l="1"/>
  <c r="AX251" i="6"/>
  <c r="AJ251" i="6"/>
  <c r="AS251" i="6"/>
  <c r="AH251" i="6"/>
  <c r="AI251" i="6"/>
  <c r="AK251" i="6"/>
  <c r="AP251" i="6"/>
  <c r="AC251" i="6"/>
  <c r="BB251" i="6"/>
  <c r="AM251" i="6"/>
  <c r="BC251" i="6"/>
  <c r="AN251" i="6"/>
  <c r="AT251" i="6"/>
  <c r="AE251" i="6"/>
  <c r="AD251" i="6"/>
  <c r="AV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BD252" i="6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B250" i="5"/>
  <c r="C250" i="6"/>
  <c r="I251" i="12"/>
  <c r="L251" i="5"/>
  <c r="AM251" i="5"/>
  <c r="Z251" i="5"/>
  <c r="D254" i="6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K253" i="12"/>
  <c r="N249" i="12"/>
  <c r="C250" i="12"/>
  <c r="M250" i="12"/>
  <c r="O250" i="12"/>
  <c r="AO250" i="12"/>
  <c r="H253" i="6"/>
  <c r="T253" i="5" s="1"/>
  <c r="J254" i="12"/>
  <c r="L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254" i="6" l="1"/>
  <c r="M254" i="6" s="1"/>
  <c r="AV254" i="6" s="1"/>
  <c r="Y250" i="12"/>
  <c r="W250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N256" i="5"/>
  <c r="K256" i="5"/>
  <c r="J256" i="5"/>
  <c r="E256" i="5"/>
  <c r="G256" i="5"/>
  <c r="B256" i="5"/>
  <c r="AD256" i="5"/>
  <c r="B256" i="6"/>
  <c r="D255" i="6"/>
  <c r="H254" i="6"/>
  <c r="T254" i="5" s="1"/>
  <c r="C251" i="6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J255" i="12"/>
  <c r="L255" i="12"/>
  <c r="AB251" i="5"/>
  <c r="C251" i="12"/>
  <c r="O251" i="12"/>
  <c r="AO251" i="12"/>
  <c r="M251" i="12"/>
  <c r="A255" i="6" l="1"/>
  <c r="M255" i="6" s="1"/>
  <c r="AQ255" i="6" s="1"/>
  <c r="X250" i="12"/>
  <c r="AG254" i="6"/>
  <c r="AH254" i="6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C252" i="6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U250" i="12"/>
  <c r="V250" i="12"/>
  <c r="T250" i="12"/>
  <c r="N251" i="12"/>
  <c r="AB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256" i="6" l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H258" i="5"/>
  <c r="AD258" i="5"/>
  <c r="L257" i="12"/>
  <c r="J257" i="12"/>
  <c r="AB253" i="5"/>
  <c r="C253" i="6"/>
  <c r="H256" i="6"/>
  <c r="T256" i="5" s="1"/>
  <c r="AG255" i="6"/>
  <c r="AF255" i="6"/>
  <c r="AI255" i="6"/>
  <c r="AC255" i="6"/>
  <c r="AJ255" i="6"/>
  <c r="L254" i="5"/>
  <c r="I254" i="12"/>
  <c r="AM254" i="5"/>
  <c r="Z254" i="5"/>
  <c r="D257" i="6"/>
  <c r="C253" i="12"/>
  <c r="AO253" i="12"/>
  <c r="O253" i="12"/>
  <c r="M253" i="12"/>
  <c r="W252" i="12" l="1"/>
  <c r="V252" i="12" s="1"/>
  <c r="M256" i="6"/>
  <c r="BF256" i="6" s="1"/>
  <c r="A257" i="6"/>
  <c r="T251" i="12"/>
  <c r="V251" i="12"/>
  <c r="Y253" i="12"/>
  <c r="W253" i="12" s="1"/>
  <c r="H257" i="6"/>
  <c r="T257" i="5" s="1"/>
  <c r="AB254" i="5"/>
  <c r="C254" i="6"/>
  <c r="G256" i="12"/>
  <c r="X256" i="5"/>
  <c r="D258" i="6"/>
  <c r="J258" i="12"/>
  <c r="L258" i="12"/>
  <c r="I255" i="12"/>
  <c r="L255" i="5"/>
  <c r="AM255" i="5"/>
  <c r="Z255" i="5"/>
  <c r="N253" i="12"/>
  <c r="C254" i="12"/>
  <c r="M254" i="12"/>
  <c r="O254" i="12"/>
  <c r="AO254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AE259" i="5"/>
  <c r="D259" i="5"/>
  <c r="B259" i="12" s="1"/>
  <c r="AD259" i="5"/>
  <c r="E259" i="5"/>
  <c r="U252" i="12" l="1"/>
  <c r="T252" i="12"/>
  <c r="M257" i="6"/>
  <c r="BG257" i="6" s="1"/>
  <c r="AZ256" i="6"/>
  <c r="BB256" i="6"/>
  <c r="AB256" i="6"/>
  <c r="AH256" i="6"/>
  <c r="AU256" i="6"/>
  <c r="BC256" i="6"/>
  <c r="AI256" i="6"/>
  <c r="AE256" i="6"/>
  <c r="AX256" i="6"/>
  <c r="BD256" i="6"/>
  <c r="AV256" i="6"/>
  <c r="AJ256" i="6"/>
  <c r="AF256" i="6"/>
  <c r="AN256" i="6"/>
  <c r="AG256" i="6"/>
  <c r="AM256" i="6"/>
  <c r="AT256" i="6"/>
  <c r="AS256" i="6"/>
  <c r="AD256" i="6"/>
  <c r="AR256" i="6"/>
  <c r="BE256" i="6"/>
  <c r="BG256" i="6"/>
  <c r="AO256" i="6"/>
  <c r="AK256" i="6"/>
  <c r="AC256" i="6"/>
  <c r="AQ256" i="6"/>
  <c r="AY256" i="6"/>
  <c r="BA256" i="6"/>
  <c r="AP256" i="6"/>
  <c r="Y254" i="12"/>
  <c r="X254" i="12" s="1"/>
  <c r="X253" i="12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H258" i="6"/>
  <c r="T258" i="5" s="1"/>
  <c r="L256" i="5"/>
  <c r="I256" i="12"/>
  <c r="AM256" i="5"/>
  <c r="Z256" i="5"/>
  <c r="N254" i="12"/>
  <c r="AB255" i="5"/>
  <c r="C255" i="6"/>
  <c r="A258" i="6"/>
  <c r="K258" i="12"/>
  <c r="G257" i="12"/>
  <c r="X257" i="5"/>
  <c r="T253" i="12"/>
  <c r="U253" i="12"/>
  <c r="V253" i="12"/>
  <c r="AT257" i="6" l="1"/>
  <c r="AI257" i="6"/>
  <c r="BC257" i="6"/>
  <c r="AO257" i="6"/>
  <c r="AY257" i="6"/>
  <c r="AG257" i="6"/>
  <c r="AV257" i="6"/>
  <c r="AP257" i="6"/>
  <c r="AX257" i="6"/>
  <c r="BB257" i="6"/>
  <c r="BE257" i="6"/>
  <c r="AR257" i="6"/>
  <c r="AU257" i="6"/>
  <c r="AJ257" i="6"/>
  <c r="AM257" i="6"/>
  <c r="AZ257" i="6"/>
  <c r="AE257" i="6"/>
  <c r="BD257" i="6"/>
  <c r="AH257" i="6"/>
  <c r="BF257" i="6"/>
  <c r="AC257" i="6"/>
  <c r="AQ257" i="6"/>
  <c r="AD257" i="6"/>
  <c r="BA257" i="6"/>
  <c r="AN257" i="6"/>
  <c r="AF257" i="6"/>
  <c r="AB257" i="6"/>
  <c r="AS257" i="6"/>
  <c r="AK257" i="6"/>
  <c r="Y255" i="12"/>
  <c r="W255" i="12" s="1"/>
  <c r="W254" i="12"/>
  <c r="T254" i="12" s="1"/>
  <c r="K259" i="12"/>
  <c r="A259" i="6"/>
  <c r="C256" i="6"/>
  <c r="M258" i="6"/>
  <c r="AD258" i="6" s="1"/>
  <c r="D260" i="6"/>
  <c r="H259" i="6"/>
  <c r="T259" i="5" s="1"/>
  <c r="I257" i="12"/>
  <c r="AM257" i="5"/>
  <c r="L257" i="5"/>
  <c r="Z257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A261" i="12"/>
  <c r="U254" i="12" l="1"/>
  <c r="V254" i="12"/>
  <c r="X255" i="12"/>
  <c r="N256" i="12"/>
  <c r="M259" i="6"/>
  <c r="AJ259" i="6" s="1"/>
  <c r="A260" i="6"/>
  <c r="AJ258" i="6"/>
  <c r="K260" i="12"/>
  <c r="J261" i="12"/>
  <c r="L261" i="12"/>
  <c r="T255" i="12"/>
  <c r="U255" i="12"/>
  <c r="V255" i="12"/>
  <c r="L258" i="5"/>
  <c r="AM258" i="5"/>
  <c r="I258" i="12"/>
  <c r="Z258" i="5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AD259" i="6" l="1"/>
  <c r="A261" i="6"/>
  <c r="M261" i="6" s="1"/>
  <c r="BA261" i="6" s="1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D257" i="12"/>
  <c r="E257" i="6"/>
  <c r="W256" i="12"/>
  <c r="X256" i="12"/>
  <c r="L259" i="5"/>
  <c r="AM259" i="5"/>
  <c r="I259" i="12"/>
  <c r="Z259" i="5"/>
  <c r="Y257" i="12"/>
  <c r="D262" i="6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BA260" i="6" l="1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J264" i="5"/>
  <c r="D263" i="6"/>
  <c r="J263" i="12"/>
  <c r="L263" i="12"/>
  <c r="H262" i="6"/>
  <c r="T262" i="5" s="1"/>
  <c r="D258" i="12"/>
  <c r="E258" i="6"/>
  <c r="Y258" i="12"/>
  <c r="L260" i="5"/>
  <c r="AM260" i="5"/>
  <c r="I260" i="12"/>
  <c r="Z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N259" i="12" l="1"/>
  <c r="A263" i="6"/>
  <c r="M263" i="6" s="1"/>
  <c r="AM263" i="6" s="1"/>
  <c r="M262" i="6"/>
  <c r="AH262" i="6" s="1"/>
  <c r="K263" i="12"/>
  <c r="D259" i="12"/>
  <c r="E259" i="6"/>
  <c r="W258" i="12"/>
  <c r="X258" i="12"/>
  <c r="L264" i="12"/>
  <c r="J264" i="12"/>
  <c r="D264" i="6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D265" i="5"/>
  <c r="B265" i="12" s="1"/>
  <c r="AD265" i="5"/>
  <c r="K265" i="5"/>
  <c r="AE265" i="5"/>
  <c r="B265" i="5"/>
  <c r="A265" i="12"/>
  <c r="H265" i="5"/>
  <c r="J265" i="5"/>
  <c r="G265" i="5"/>
  <c r="F265" i="5"/>
  <c r="E265" i="5"/>
  <c r="N265" i="5"/>
  <c r="W265" i="5"/>
  <c r="H265" i="12" s="1"/>
  <c r="B265" i="6"/>
  <c r="A5" i="5"/>
  <c r="J247" i="5" l="1"/>
  <c r="K247" i="5"/>
  <c r="J223" i="5"/>
  <c r="K223" i="5"/>
  <c r="J222" i="5"/>
  <c r="K222" i="5"/>
  <c r="J220" i="5"/>
  <c r="K220" i="5"/>
  <c r="J216" i="5"/>
  <c r="K216" i="5"/>
  <c r="J212" i="5"/>
  <c r="K212" i="5"/>
  <c r="J211" i="5"/>
  <c r="K211" i="5"/>
  <c r="D211" i="5" s="1"/>
  <c r="K197" i="5"/>
  <c r="J197" i="5"/>
  <c r="K184" i="5"/>
  <c r="J184" i="5"/>
  <c r="J175" i="5"/>
  <c r="K175" i="5"/>
  <c r="K163" i="5"/>
  <c r="J163" i="5"/>
  <c r="K159" i="5"/>
  <c r="J159" i="5"/>
  <c r="K149" i="5"/>
  <c r="J149" i="5"/>
  <c r="K148" i="5"/>
  <c r="J148" i="5"/>
  <c r="J144" i="5"/>
  <c r="K144" i="5"/>
  <c r="D144" i="5" s="1"/>
  <c r="J143" i="5"/>
  <c r="K143" i="5"/>
  <c r="K127" i="5"/>
  <c r="J127" i="5"/>
  <c r="J120" i="5"/>
  <c r="K120" i="5"/>
  <c r="J108" i="5"/>
  <c r="K108" i="5"/>
  <c r="J101" i="5"/>
  <c r="K101" i="5"/>
  <c r="J91" i="5"/>
  <c r="K91" i="5"/>
  <c r="J92" i="5"/>
  <c r="K92" i="5"/>
  <c r="K71" i="5"/>
  <c r="J71" i="5"/>
  <c r="K56" i="5"/>
  <c r="J56" i="5"/>
  <c r="K48" i="5"/>
  <c r="J48" i="5"/>
  <c r="K36" i="5"/>
  <c r="J36" i="5"/>
  <c r="K21" i="5"/>
  <c r="J21" i="5"/>
  <c r="O19" i="5"/>
  <c r="D19" i="12" s="1"/>
  <c r="O18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D260" i="12"/>
  <c r="E260" i="6"/>
  <c r="N260" i="12"/>
  <c r="C261" i="12"/>
  <c r="AO261" i="12"/>
  <c r="O261" i="12"/>
  <c r="M261" i="12"/>
  <c r="H264" i="6"/>
  <c r="T264" i="5" s="1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216" i="5" l="1"/>
  <c r="B216" i="12" s="1"/>
  <c r="D222" i="5"/>
  <c r="B222" i="12" s="1"/>
  <c r="D247" i="5"/>
  <c r="B247" i="12" s="1"/>
  <c r="D223" i="5"/>
  <c r="D220" i="5"/>
  <c r="B220" i="12" s="1"/>
  <c r="D212" i="5"/>
  <c r="B212" i="12" s="1"/>
  <c r="B211" i="12"/>
  <c r="D197" i="5"/>
  <c r="B197" i="12" s="1"/>
  <c r="D184" i="5"/>
  <c r="B184" i="12" s="1"/>
  <c r="D175" i="5"/>
  <c r="B175" i="12" s="1"/>
  <c r="D163" i="5"/>
  <c r="B163" i="12" s="1"/>
  <c r="D159" i="5"/>
  <c r="B159" i="12" s="1"/>
  <c r="D148" i="5"/>
  <c r="B148" i="12" s="1"/>
  <c r="D149" i="5"/>
  <c r="D143" i="5"/>
  <c r="B143" i="12" s="1"/>
  <c r="B144" i="12"/>
  <c r="D127" i="5"/>
  <c r="B127" i="12" s="1"/>
  <c r="D120" i="5"/>
  <c r="B120" i="12" s="1"/>
  <c r="D91" i="5"/>
  <c r="B15" i="13" s="1"/>
  <c r="AE15" i="13" s="1"/>
  <c r="D108" i="5"/>
  <c r="B108" i="12" s="1"/>
  <c r="D101" i="5"/>
  <c r="B101" i="12" s="1"/>
  <c r="D92" i="5"/>
  <c r="B92" i="12" s="1"/>
  <c r="D71" i="5"/>
  <c r="B71" i="12" s="1"/>
  <c r="D56" i="5"/>
  <c r="B56" i="12" s="1"/>
  <c r="D48" i="5"/>
  <c r="B48" i="12" s="1"/>
  <c r="D36" i="5"/>
  <c r="B36" i="12" s="1"/>
  <c r="D21" i="5"/>
  <c r="B21" i="12" s="1"/>
  <c r="E19" i="6"/>
  <c r="D18" i="12"/>
  <c r="E18" i="6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G15" i="11"/>
  <c r="F15" i="13" s="1"/>
  <c r="C15" i="13"/>
  <c r="B21" i="13"/>
  <c r="AH21" i="13" s="1"/>
  <c r="C17" i="13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K16" i="11"/>
  <c r="J16" i="13" s="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17" i="13" l="1"/>
  <c r="AF17" i="13" s="1"/>
  <c r="B223" i="12"/>
  <c r="B16" i="13"/>
  <c r="AF16" i="13" s="1"/>
  <c r="B149" i="12"/>
  <c r="B91" i="12"/>
  <c r="F1" i="8"/>
  <c r="X261" i="12"/>
  <c r="B16" i="12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20" i="13"/>
  <c r="AK23" i="13"/>
  <c r="AK22" i="13"/>
  <c r="AK19" i="13"/>
  <c r="AK18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L32" i="5" s="1"/>
  <c r="X43" i="5"/>
  <c r="L43" i="5" s="1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B22" i="12"/>
  <c r="X22" i="5"/>
  <c r="B74" i="12"/>
  <c r="Q1" i="8"/>
  <c r="R3" i="8"/>
  <c r="R19" i="8"/>
  <c r="P17" i="8"/>
  <c r="G265" i="12"/>
  <c r="X265" i="5"/>
  <c r="X163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B17" i="12"/>
  <c r="B53" i="12"/>
  <c r="X53" i="5"/>
  <c r="I66" i="12"/>
  <c r="AM66" i="5"/>
  <c r="L66" i="5"/>
  <c r="Z66" i="5"/>
  <c r="G2" i="8"/>
  <c r="G1" i="8"/>
  <c r="I2" i="8" s="1"/>
  <c r="O17" i="8"/>
  <c r="AM264" i="5"/>
  <c r="L264" i="5"/>
  <c r="I264" i="12"/>
  <c r="Z264" i="5"/>
  <c r="AI265" i="6"/>
  <c r="AI15" i="6" s="1"/>
  <c r="X15" i="6" s="1"/>
  <c r="AD265" i="6"/>
  <c r="AD15" i="6" s="1"/>
  <c r="S15" i="6" s="1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A61" i="9"/>
  <c r="A60" i="10"/>
  <c r="A23" i="9"/>
  <c r="C50" i="10"/>
  <c r="A39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A59" i="9"/>
  <c r="A32" i="9"/>
  <c r="C16" i="10"/>
  <c r="C39" i="9"/>
  <c r="A56" i="10"/>
  <c r="C52" i="10"/>
  <c r="A55" i="9"/>
  <c r="A52" i="9"/>
  <c r="A43" i="9"/>
  <c r="A63" i="9"/>
  <c r="A46" i="10"/>
  <c r="A64" i="10"/>
  <c r="C59" i="10"/>
  <c r="A64" i="9"/>
  <c r="A50" i="10"/>
  <c r="C64" i="10"/>
  <c r="C62" i="9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A55" i="10"/>
  <c r="A22" i="10"/>
  <c r="C56" i="9"/>
  <c r="C42" i="10"/>
  <c r="A62" i="10"/>
  <c r="A40" i="10"/>
  <c r="A41" i="10"/>
  <c r="A54" i="9"/>
  <c r="A20" i="10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48" i="9"/>
  <c r="C57" i="10"/>
  <c r="A17" i="9"/>
  <c r="C64" i="9"/>
  <c r="A1" i="9"/>
  <c r="A61" i="10"/>
  <c r="M12" i="6"/>
  <c r="C1" i="10"/>
  <c r="C48" i="10"/>
  <c r="C53" i="9"/>
  <c r="A36" i="9"/>
  <c r="A45" i="10"/>
  <c r="C52" i="9"/>
  <c r="A42" i="9"/>
  <c r="C43" i="9"/>
  <c r="C46" i="10"/>
  <c r="C47" i="9"/>
  <c r="A34" i="9"/>
  <c r="A51" i="10"/>
  <c r="A46" i="9"/>
  <c r="C40" i="10"/>
  <c r="A24" i="10"/>
  <c r="A19" i="9"/>
  <c r="A18" i="9"/>
  <c r="C1" i="9"/>
  <c r="A26" i="9"/>
  <c r="A38" i="9"/>
  <c r="C58" i="10"/>
  <c r="C16" i="9"/>
  <c r="C45" i="10"/>
  <c r="C53" i="10"/>
  <c r="A60" i="9"/>
  <c r="A27" i="9"/>
  <c r="A25" i="10"/>
  <c r="A44" i="10"/>
  <c r="A37" i="10"/>
  <c r="A53" i="9"/>
  <c r="A37" i="9"/>
  <c r="C56" i="10"/>
  <c r="A52" i="10"/>
  <c r="A35" i="10"/>
  <c r="A36" i="10"/>
  <c r="A19" i="10"/>
  <c r="A16" i="9"/>
  <c r="A42" i="10"/>
  <c r="C51" i="10"/>
  <c r="A33" i="10"/>
  <c r="A58" i="9"/>
  <c r="C61" i="10"/>
  <c r="A59" i="10"/>
  <c r="A51" i="9"/>
  <c r="A54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247" i="5" l="1"/>
  <c r="X222" i="5"/>
  <c r="X223" i="5"/>
  <c r="X220" i="5"/>
  <c r="X216" i="5"/>
  <c r="X212" i="5"/>
  <c r="X211" i="5"/>
  <c r="X197" i="5" s="1"/>
  <c r="X184" i="5"/>
  <c r="X175" i="5"/>
  <c r="AM163" i="5"/>
  <c r="I163" i="12"/>
  <c r="Z163" i="5"/>
  <c r="L163" i="5"/>
  <c r="X74" i="5"/>
  <c r="X71" i="5" s="1"/>
  <c r="X159" i="5"/>
  <c r="X149" i="5"/>
  <c r="X144" i="5"/>
  <c r="X91" i="5" s="1"/>
  <c r="X127" i="5"/>
  <c r="X120" i="5"/>
  <c r="X108" i="5"/>
  <c r="X101" i="5"/>
  <c r="X92" i="5"/>
  <c r="X56" i="5"/>
  <c r="I56" i="12" s="1"/>
  <c r="X48" i="5"/>
  <c r="Z48" i="5" s="1"/>
  <c r="X36" i="5"/>
  <c r="I22" i="5"/>
  <c r="I23" i="5" s="1"/>
  <c r="X21" i="5"/>
  <c r="I43" i="12"/>
  <c r="AM32" i="5"/>
  <c r="AO66" i="12"/>
  <c r="X17" i="5"/>
  <c r="AM17" i="5" s="1"/>
  <c r="L20" i="8"/>
  <c r="E24" i="8" s="1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C43" i="6"/>
  <c r="L43" i="12"/>
  <c r="J43" i="12"/>
  <c r="D263" i="12"/>
  <c r="E263" i="6"/>
  <c r="C264" i="6"/>
  <c r="O264" i="5"/>
  <c r="P12" i="13"/>
  <c r="N12" i="13"/>
  <c r="C32" i="6"/>
  <c r="D20" i="13"/>
  <c r="D19" i="13"/>
  <c r="D18" i="13"/>
  <c r="I22" i="12"/>
  <c r="AM22" i="5"/>
  <c r="L22" i="5"/>
  <c r="Z22" i="5"/>
  <c r="D22" i="13"/>
  <c r="P23" i="13"/>
  <c r="N23" i="13"/>
  <c r="P19" i="13"/>
  <c r="N19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D21" i="13"/>
  <c r="N22" i="13"/>
  <c r="P22" i="13"/>
  <c r="J32" i="12"/>
  <c r="L32" i="12"/>
  <c r="N20" i="13"/>
  <c r="P20" i="13"/>
  <c r="D23" i="13"/>
  <c r="P18" i="13"/>
  <c r="N18" i="13"/>
  <c r="N263" i="12"/>
  <c r="L265" i="5"/>
  <c r="I265" i="12"/>
  <c r="AM265" i="5"/>
  <c r="Z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N21" i="13"/>
  <c r="P21" i="13"/>
  <c r="D12" i="13"/>
  <c r="V12" i="13"/>
  <c r="L247" i="5" l="1"/>
  <c r="I247" i="12"/>
  <c r="Z247" i="5"/>
  <c r="AM247" i="5"/>
  <c r="AM223" i="5"/>
  <c r="L223" i="5"/>
  <c r="I223" i="12"/>
  <c r="Z223" i="5"/>
  <c r="AM222" i="5"/>
  <c r="Z222" i="5"/>
  <c r="L222" i="5"/>
  <c r="I222" i="12"/>
  <c r="O17" i="11"/>
  <c r="I220" i="12"/>
  <c r="Z220" i="5"/>
  <c r="AM220" i="5"/>
  <c r="L220" i="5"/>
  <c r="AM216" i="5"/>
  <c r="I216" i="12"/>
  <c r="Z216" i="5"/>
  <c r="L216" i="5"/>
  <c r="X148" i="5"/>
  <c r="I148" i="12" s="1"/>
  <c r="J148" i="12" s="1"/>
  <c r="Z212" i="5"/>
  <c r="L212" i="5"/>
  <c r="AM212" i="5"/>
  <c r="I212" i="12"/>
  <c r="Z211" i="5"/>
  <c r="I211" i="12"/>
  <c r="L211" i="5"/>
  <c r="AM211" i="5"/>
  <c r="Z197" i="5"/>
  <c r="AM197" i="5"/>
  <c r="L197" i="5"/>
  <c r="I197" i="12"/>
  <c r="I184" i="12"/>
  <c r="L184" i="5"/>
  <c r="Z184" i="5"/>
  <c r="AM184" i="5"/>
  <c r="Z175" i="5"/>
  <c r="AM175" i="5"/>
  <c r="L175" i="5"/>
  <c r="I175" i="12"/>
  <c r="L163" i="12"/>
  <c r="J163" i="12"/>
  <c r="C163" i="12"/>
  <c r="O163" i="5"/>
  <c r="C163" i="6"/>
  <c r="L74" i="5"/>
  <c r="C74" i="6" s="1"/>
  <c r="I74" i="12"/>
  <c r="C74" i="12" s="1"/>
  <c r="AM74" i="5"/>
  <c r="X16" i="5"/>
  <c r="I16" i="12" s="1"/>
  <c r="Z74" i="5"/>
  <c r="AM159" i="5"/>
  <c r="Z159" i="5"/>
  <c r="L159" i="5"/>
  <c r="I159" i="12"/>
  <c r="I149" i="12"/>
  <c r="AM149" i="5"/>
  <c r="L149" i="5"/>
  <c r="Z149" i="5"/>
  <c r="X15" i="5"/>
  <c r="I15" i="12" s="1"/>
  <c r="X143" i="5"/>
  <c r="O16" i="11" s="1"/>
  <c r="C16" i="11" s="1"/>
  <c r="Z144" i="5"/>
  <c r="L144" i="5"/>
  <c r="I144" i="12"/>
  <c r="AM144" i="5"/>
  <c r="I127" i="12"/>
  <c r="Z127" i="5"/>
  <c r="AM127" i="5"/>
  <c r="L127" i="5"/>
  <c r="AM120" i="5"/>
  <c r="L120" i="5"/>
  <c r="I120" i="12"/>
  <c r="Z120" i="5"/>
  <c r="I108" i="12"/>
  <c r="AM108" i="5"/>
  <c r="L108" i="5"/>
  <c r="Z108" i="5"/>
  <c r="Z101" i="5"/>
  <c r="I101" i="12"/>
  <c r="L101" i="5"/>
  <c r="AM101" i="5"/>
  <c r="AM92" i="5"/>
  <c r="Z92" i="5"/>
  <c r="L92" i="5"/>
  <c r="I92" i="12"/>
  <c r="AM91" i="5"/>
  <c r="Z91" i="5"/>
  <c r="L91" i="5"/>
  <c r="I91" i="12"/>
  <c r="O15" i="11"/>
  <c r="L56" i="5"/>
  <c r="C56" i="6" s="1"/>
  <c r="Z56" i="5"/>
  <c r="AM56" i="5"/>
  <c r="AM71" i="5"/>
  <c r="Z71" i="5"/>
  <c r="I71" i="12"/>
  <c r="L71" i="5"/>
  <c r="N66" i="12"/>
  <c r="Y66" i="12"/>
  <c r="X66" i="12" s="1"/>
  <c r="J56" i="12"/>
  <c r="L56" i="12"/>
  <c r="C56" i="12"/>
  <c r="AM48" i="5"/>
  <c r="L48" i="5"/>
  <c r="C48" i="6" s="1"/>
  <c r="I48" i="12"/>
  <c r="J48" i="12" s="1"/>
  <c r="M43" i="12"/>
  <c r="O43" i="12"/>
  <c r="Z36" i="5"/>
  <c r="AM36" i="5"/>
  <c r="I36" i="12"/>
  <c r="L36" i="5"/>
  <c r="I24" i="5"/>
  <c r="O23" i="5"/>
  <c r="Z21" i="5"/>
  <c r="I21" i="12"/>
  <c r="L21" i="5"/>
  <c r="AM21" i="5"/>
  <c r="R20" i="8"/>
  <c r="F20" i="8" s="1"/>
  <c r="AO43" i="12"/>
  <c r="C43" i="12"/>
  <c r="Z17" i="5"/>
  <c r="R17" i="8"/>
  <c r="I17" i="12"/>
  <c r="C17" i="12" s="1"/>
  <c r="L17" i="5"/>
  <c r="O17" i="5" s="1"/>
  <c r="M53" i="12"/>
  <c r="P20" i="8"/>
  <c r="R22" i="8"/>
  <c r="O20" i="8"/>
  <c r="O53" i="12"/>
  <c r="L23" i="8"/>
  <c r="R23" i="8"/>
  <c r="AB53" i="5"/>
  <c r="AA53" i="5"/>
  <c r="AB43" i="5"/>
  <c r="AB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AA265" i="5"/>
  <c r="AB265" i="5"/>
  <c r="C265" i="12"/>
  <c r="AO265" i="12"/>
  <c r="AO212" i="12" s="1"/>
  <c r="O265" i="12"/>
  <c r="O212" i="12" s="1"/>
  <c r="M265" i="12"/>
  <c r="M184" i="12" s="1"/>
  <c r="C53" i="12"/>
  <c r="J53" i="12"/>
  <c r="L53" i="12"/>
  <c r="J74" i="12"/>
  <c r="L74" i="12"/>
  <c r="E264" i="6"/>
  <c r="D264" i="12"/>
  <c r="C265" i="6"/>
  <c r="O265" i="5"/>
  <c r="C53" i="6"/>
  <c r="O53" i="5"/>
  <c r="K66" i="12"/>
  <c r="N264" i="12"/>
  <c r="C22" i="6"/>
  <c r="O22" i="5"/>
  <c r="C22" i="12"/>
  <c r="J22" i="12"/>
  <c r="M22" i="12" s="1"/>
  <c r="L22" i="12"/>
  <c r="O22" i="12" s="1"/>
  <c r="T262" i="12"/>
  <c r="U262" i="12"/>
  <c r="V262" i="12"/>
  <c r="O247" i="5" l="1"/>
  <c r="C247" i="6"/>
  <c r="AO247" i="12"/>
  <c r="AB222" i="5"/>
  <c r="AB17" i="11" s="1"/>
  <c r="N17" i="11" s="1"/>
  <c r="AB247" i="5"/>
  <c r="M247" i="12"/>
  <c r="J247" i="12"/>
  <c r="L247" i="12"/>
  <c r="C247" i="12"/>
  <c r="O247" i="12"/>
  <c r="L222" i="12"/>
  <c r="J222" i="12"/>
  <c r="C222" i="12"/>
  <c r="O222" i="12"/>
  <c r="J223" i="12"/>
  <c r="L223" i="12"/>
  <c r="C223" i="12"/>
  <c r="AO222" i="12"/>
  <c r="Y222" i="12" s="1"/>
  <c r="C222" i="6"/>
  <c r="O222" i="5"/>
  <c r="AO223" i="12"/>
  <c r="C223" i="6"/>
  <c r="O223" i="5"/>
  <c r="M222" i="12"/>
  <c r="M223" i="12"/>
  <c r="AB223" i="5"/>
  <c r="L17" i="13"/>
  <c r="D17" i="13" s="1"/>
  <c r="C17" i="11"/>
  <c r="W17" i="11"/>
  <c r="O223" i="12"/>
  <c r="J220" i="12"/>
  <c r="L220" i="12"/>
  <c r="C220" i="12"/>
  <c r="C220" i="6"/>
  <c r="O220" i="5"/>
  <c r="O220" i="12"/>
  <c r="M220" i="12"/>
  <c r="AB216" i="5"/>
  <c r="AB220" i="5"/>
  <c r="AO220" i="12"/>
  <c r="Y220" i="12" s="1"/>
  <c r="O216" i="5"/>
  <c r="C216" i="6"/>
  <c r="M216" i="12"/>
  <c r="AO216" i="12"/>
  <c r="J216" i="12"/>
  <c r="L216" i="12"/>
  <c r="C216" i="12"/>
  <c r="O216" i="12"/>
  <c r="C148" i="12"/>
  <c r="L148" i="5"/>
  <c r="C148" i="6" s="1"/>
  <c r="AM148" i="5"/>
  <c r="L148" i="12"/>
  <c r="K148" i="12" s="1"/>
  <c r="Z148" i="5"/>
  <c r="Y212" i="12"/>
  <c r="J212" i="12"/>
  <c r="L212" i="12"/>
  <c r="C212" i="12"/>
  <c r="M212" i="12"/>
  <c r="N212" i="12" s="1"/>
  <c r="AB211" i="5"/>
  <c r="AB197" i="5" s="1"/>
  <c r="AB212" i="5"/>
  <c r="AA211" i="5"/>
  <c r="C212" i="6"/>
  <c r="O212" i="5"/>
  <c r="AO211" i="12"/>
  <c r="AO148" i="12" s="1"/>
  <c r="C211" i="6"/>
  <c r="O211" i="5"/>
  <c r="M211" i="12"/>
  <c r="M148" i="12" s="1"/>
  <c r="L211" i="12"/>
  <c r="J211" i="12"/>
  <c r="C211" i="12"/>
  <c r="O211" i="12"/>
  <c r="N211" i="12" s="1"/>
  <c r="L197" i="12"/>
  <c r="J197" i="12"/>
  <c r="C197" i="12"/>
  <c r="M197" i="12"/>
  <c r="AB184" i="5"/>
  <c r="O197" i="5"/>
  <c r="C197" i="6"/>
  <c r="O92" i="12"/>
  <c r="O184" i="12"/>
  <c r="N184" i="12" s="1"/>
  <c r="L184" i="12"/>
  <c r="J184" i="12"/>
  <c r="C184" i="12"/>
  <c r="C184" i="6"/>
  <c r="O184" i="5"/>
  <c r="AO184" i="12"/>
  <c r="AO175" i="12"/>
  <c r="J175" i="12"/>
  <c r="L175" i="12"/>
  <c r="C175" i="12"/>
  <c r="O175" i="12"/>
  <c r="M163" i="12"/>
  <c r="M175" i="12"/>
  <c r="AB163" i="5"/>
  <c r="AB175" i="5"/>
  <c r="C175" i="6"/>
  <c r="O175" i="5"/>
  <c r="K163" i="12"/>
  <c r="AO163" i="12"/>
  <c r="D163" i="12"/>
  <c r="E163" i="6"/>
  <c r="O163" i="12"/>
  <c r="Z16" i="5"/>
  <c r="L16" i="5"/>
  <c r="C16" i="6" s="1"/>
  <c r="R14" i="8"/>
  <c r="F14" i="8" s="1"/>
  <c r="AM16" i="5"/>
  <c r="O14" i="11"/>
  <c r="C14" i="11" s="1"/>
  <c r="AO159" i="12"/>
  <c r="J159" i="12"/>
  <c r="L159" i="12"/>
  <c r="C159" i="12"/>
  <c r="O159" i="12"/>
  <c r="M159" i="12"/>
  <c r="AB149" i="5"/>
  <c r="AB159" i="5"/>
  <c r="O159" i="5"/>
  <c r="C159" i="6"/>
  <c r="O148" i="5"/>
  <c r="D148" i="12" s="1"/>
  <c r="AO149" i="12"/>
  <c r="L149" i="12"/>
  <c r="J149" i="12"/>
  <c r="C149" i="12"/>
  <c r="M149" i="12"/>
  <c r="C149" i="6"/>
  <c r="O149" i="5"/>
  <c r="O149" i="12"/>
  <c r="AB144" i="5"/>
  <c r="AB91" i="5" s="1"/>
  <c r="AB15" i="11" s="1"/>
  <c r="N15" i="11" s="1"/>
  <c r="S73" i="10"/>
  <c r="S72" i="10" s="1"/>
  <c r="AC73" i="10"/>
  <c r="AC72" i="10" s="1"/>
  <c r="L16" i="13"/>
  <c r="D16" i="13" s="1"/>
  <c r="Z15" i="5"/>
  <c r="L143" i="5"/>
  <c r="C143" i="6" s="1"/>
  <c r="M73" i="10"/>
  <c r="M72" i="10" s="1"/>
  <c r="I73" i="10"/>
  <c r="Y73" i="10"/>
  <c r="U73" i="10"/>
  <c r="U72" i="10" s="1"/>
  <c r="W16" i="11"/>
  <c r="K73" i="10"/>
  <c r="K72" i="10" s="1"/>
  <c r="W73" i="10"/>
  <c r="W72" i="10" s="1"/>
  <c r="AE73" i="10"/>
  <c r="Z143" i="5"/>
  <c r="AM143" i="5"/>
  <c r="Q73" i="10"/>
  <c r="Q72" i="10" s="1"/>
  <c r="AM15" i="5"/>
  <c r="O73" i="10"/>
  <c r="AA73" i="10"/>
  <c r="I143" i="12"/>
  <c r="L143" i="12" s="1"/>
  <c r="L144" i="12"/>
  <c r="O144" i="12" s="1"/>
  <c r="J144" i="12"/>
  <c r="M144" i="12" s="1"/>
  <c r="M143" i="12" s="1"/>
  <c r="M91" i="12" s="1"/>
  <c r="AL15" i="13" s="1"/>
  <c r="M15" i="13" s="1"/>
  <c r="C144" i="12"/>
  <c r="AO144" i="12"/>
  <c r="AO143" i="12" s="1"/>
  <c r="C144" i="6"/>
  <c r="AB127" i="5"/>
  <c r="C127" i="6"/>
  <c r="O127" i="5"/>
  <c r="J127" i="12"/>
  <c r="L127" i="12"/>
  <c r="C127" i="12"/>
  <c r="M127" i="12"/>
  <c r="J120" i="12"/>
  <c r="L120" i="12"/>
  <c r="C120" i="12"/>
  <c r="M120" i="12"/>
  <c r="AB108" i="5"/>
  <c r="AB120" i="5"/>
  <c r="O120" i="5"/>
  <c r="C120" i="6"/>
  <c r="AO120" i="12"/>
  <c r="O120" i="12"/>
  <c r="C108" i="6"/>
  <c r="O108" i="5"/>
  <c r="M108" i="12"/>
  <c r="O108" i="12"/>
  <c r="J108" i="12"/>
  <c r="L108" i="12"/>
  <c r="C108" i="12"/>
  <c r="AO108" i="12"/>
  <c r="AB101" i="5"/>
  <c r="C101" i="6"/>
  <c r="O101" i="5"/>
  <c r="AO101" i="12"/>
  <c r="O101" i="12"/>
  <c r="L101" i="12"/>
  <c r="J101" i="12"/>
  <c r="C101" i="12"/>
  <c r="M101" i="12"/>
  <c r="W264" i="12"/>
  <c r="T264" i="12" s="1"/>
  <c r="C91" i="6"/>
  <c r="O91" i="5"/>
  <c r="C92" i="6"/>
  <c r="O92" i="5"/>
  <c r="W15" i="11"/>
  <c r="C15" i="11"/>
  <c r="L15" i="13"/>
  <c r="D15" i="13" s="1"/>
  <c r="AO92" i="12"/>
  <c r="M92" i="12"/>
  <c r="L91" i="12"/>
  <c r="J91" i="12"/>
  <c r="C91" i="12"/>
  <c r="J92" i="12"/>
  <c r="L92" i="12"/>
  <c r="C92" i="12"/>
  <c r="AB92" i="5"/>
  <c r="O56" i="5"/>
  <c r="D56" i="12" s="1"/>
  <c r="C71" i="6"/>
  <c r="O71" i="5"/>
  <c r="L71" i="12"/>
  <c r="J71" i="12"/>
  <c r="C71" i="12"/>
  <c r="K56" i="12"/>
  <c r="W66" i="12"/>
  <c r="V66" i="12" s="1"/>
  <c r="C48" i="12"/>
  <c r="L48" i="12"/>
  <c r="K48" i="12" s="1"/>
  <c r="O48" i="5"/>
  <c r="D48" i="12" s="1"/>
  <c r="Y53" i="12"/>
  <c r="X53" i="12" s="1"/>
  <c r="N43" i="12"/>
  <c r="F21" i="8"/>
  <c r="Y43" i="12"/>
  <c r="W43" i="12" s="1"/>
  <c r="T43" i="12" s="1"/>
  <c r="O36" i="5"/>
  <c r="C36" i="6"/>
  <c r="J36" i="12"/>
  <c r="L36" i="12"/>
  <c r="C36" i="12"/>
  <c r="T263" i="12"/>
  <c r="V263" i="12"/>
  <c r="J17" i="12"/>
  <c r="I25" i="5"/>
  <c r="O24" i="5"/>
  <c r="E23" i="6"/>
  <c r="D23" i="12"/>
  <c r="C21" i="6"/>
  <c r="O21" i="5"/>
  <c r="H20" i="8" s="1"/>
  <c r="N22" i="12"/>
  <c r="J21" i="12"/>
  <c r="L21" i="12"/>
  <c r="C21" i="12"/>
  <c r="Y22" i="12"/>
  <c r="W22" i="12" s="1"/>
  <c r="U22" i="12" s="1"/>
  <c r="F18" i="8"/>
  <c r="F17" i="8"/>
  <c r="N53" i="12"/>
  <c r="C17" i="6"/>
  <c r="L17" i="12"/>
  <c r="M74" i="12"/>
  <c r="M71" i="12" s="1"/>
  <c r="M15" i="12"/>
  <c r="J15" i="12" s="1"/>
  <c r="F24" i="8"/>
  <c r="F23" i="8"/>
  <c r="O23" i="8"/>
  <c r="E27" i="8"/>
  <c r="R25" i="8"/>
  <c r="P23" i="8"/>
  <c r="N32" i="12"/>
  <c r="Y32" i="12"/>
  <c r="K74" i="12"/>
  <c r="Y265" i="12"/>
  <c r="W265" i="12" s="1"/>
  <c r="D22" i="12"/>
  <c r="E22" i="6"/>
  <c r="AB74" i="5"/>
  <c r="AB71" i="5" s="1"/>
  <c r="L16" i="12"/>
  <c r="C16" i="12"/>
  <c r="J16" i="12"/>
  <c r="K22" i="12"/>
  <c r="E53" i="6"/>
  <c r="D53" i="12"/>
  <c r="D17" i="12"/>
  <c r="E17" i="6"/>
  <c r="H17" i="8"/>
  <c r="D265" i="12"/>
  <c r="E265" i="6"/>
  <c r="AO74" i="12"/>
  <c r="K53" i="12"/>
  <c r="N265" i="12"/>
  <c r="O74" i="12"/>
  <c r="O71" i="12" s="1"/>
  <c r="AB148" i="5" l="1"/>
  <c r="AB16" i="11" s="1"/>
  <c r="N16" i="11" s="1"/>
  <c r="K247" i="12"/>
  <c r="N247" i="12"/>
  <c r="N223" i="12"/>
  <c r="Y247" i="12"/>
  <c r="E247" i="6"/>
  <c r="D247" i="12"/>
  <c r="K220" i="12"/>
  <c r="O148" i="12"/>
  <c r="N148" i="12" s="1"/>
  <c r="AO197" i="12"/>
  <c r="N216" i="12"/>
  <c r="K223" i="12"/>
  <c r="N220" i="12"/>
  <c r="W222" i="12"/>
  <c r="X222" i="12"/>
  <c r="N222" i="12"/>
  <c r="AO17" i="13"/>
  <c r="O17" i="13" s="1"/>
  <c r="AN17" i="13"/>
  <c r="U17" i="13" s="1"/>
  <c r="Y223" i="12"/>
  <c r="AL17" i="13"/>
  <c r="M17" i="13" s="1"/>
  <c r="AK17" i="13"/>
  <c r="S17" i="13" s="1"/>
  <c r="D222" i="12"/>
  <c r="E222" i="6"/>
  <c r="E223" i="6"/>
  <c r="D223" i="12"/>
  <c r="K222" i="12"/>
  <c r="W220" i="12"/>
  <c r="X220" i="12"/>
  <c r="D220" i="12"/>
  <c r="E220" i="6"/>
  <c r="Y216" i="12"/>
  <c r="K216" i="12"/>
  <c r="E216" i="6"/>
  <c r="D216" i="12"/>
  <c r="K212" i="12"/>
  <c r="E212" i="6"/>
  <c r="D212" i="12"/>
  <c r="X212" i="12"/>
  <c r="W212" i="12"/>
  <c r="K211" i="12"/>
  <c r="O197" i="12"/>
  <c r="D211" i="12"/>
  <c r="E211" i="6"/>
  <c r="Y211" i="12"/>
  <c r="AE71" i="10"/>
  <c r="AE70" i="10" s="1"/>
  <c r="Y108" i="12"/>
  <c r="W108" i="12" s="1"/>
  <c r="K197" i="12"/>
  <c r="D197" i="12"/>
  <c r="E197" i="6"/>
  <c r="O16" i="5"/>
  <c r="H14" i="8" s="1"/>
  <c r="F15" i="8"/>
  <c r="K184" i="12"/>
  <c r="D184" i="12"/>
  <c r="E184" i="6"/>
  <c r="Y92" i="12"/>
  <c r="W92" i="12" s="1"/>
  <c r="N92" i="12"/>
  <c r="Y184" i="12"/>
  <c r="N175" i="12"/>
  <c r="E175" i="6"/>
  <c r="D175" i="12"/>
  <c r="K175" i="12"/>
  <c r="N163" i="12"/>
  <c r="Y175" i="12"/>
  <c r="W14" i="11"/>
  <c r="Y163" i="12"/>
  <c r="O24" i="11"/>
  <c r="AA7" i="11" s="1"/>
  <c r="L14" i="13"/>
  <c r="L28" i="13" s="1"/>
  <c r="N159" i="12"/>
  <c r="E159" i="6"/>
  <c r="D159" i="12"/>
  <c r="K159" i="12"/>
  <c r="Y159" i="12"/>
  <c r="O143" i="5"/>
  <c r="E143" i="6" s="1"/>
  <c r="AB143" i="5"/>
  <c r="AK15" i="13" s="1"/>
  <c r="S15" i="13" s="1"/>
  <c r="E148" i="6"/>
  <c r="K149" i="12"/>
  <c r="E149" i="6"/>
  <c r="D149" i="12"/>
  <c r="N149" i="12"/>
  <c r="Y149" i="12"/>
  <c r="W71" i="10"/>
  <c r="W70" i="10" s="1"/>
  <c r="U71" i="10"/>
  <c r="U70" i="10" s="1"/>
  <c r="AE72" i="10"/>
  <c r="U264" i="12"/>
  <c r="M71" i="10"/>
  <c r="M70" i="10" s="1"/>
  <c r="V264" i="12"/>
  <c r="AC71" i="10"/>
  <c r="AC70" i="10" s="1"/>
  <c r="Y71" i="10"/>
  <c r="Y70" i="10" s="1"/>
  <c r="Y72" i="10"/>
  <c r="AA71" i="10"/>
  <c r="AA70" i="10" s="1"/>
  <c r="AA72" i="10"/>
  <c r="S71" i="10"/>
  <c r="S70" i="10" s="1"/>
  <c r="C143" i="12"/>
  <c r="J143" i="12"/>
  <c r="K143" i="12" s="1"/>
  <c r="Q71" i="10"/>
  <c r="Q70" i="10" s="1"/>
  <c r="K71" i="10"/>
  <c r="K70" i="10" s="1"/>
  <c r="O72" i="10"/>
  <c r="I72" i="10"/>
  <c r="AE9" i="10" s="1"/>
  <c r="I71" i="10"/>
  <c r="I70" i="10" s="1"/>
  <c r="Y9" i="10" s="1"/>
  <c r="O71" i="10"/>
  <c r="O70" i="10" s="1"/>
  <c r="N144" i="12"/>
  <c r="O91" i="12"/>
  <c r="AO15" i="13" s="1"/>
  <c r="O15" i="13" s="1"/>
  <c r="O143" i="12"/>
  <c r="O127" i="12" s="1"/>
  <c r="N127" i="12" s="1"/>
  <c r="AO127" i="12"/>
  <c r="AO91" i="12"/>
  <c r="AL16" i="13"/>
  <c r="M16" i="13" s="1"/>
  <c r="Y144" i="12"/>
  <c r="K144" i="12"/>
  <c r="K127" i="12"/>
  <c r="N120" i="12"/>
  <c r="D127" i="12"/>
  <c r="E127" i="6"/>
  <c r="K120" i="12"/>
  <c r="E120" i="6"/>
  <c r="D120" i="12"/>
  <c r="Y120" i="12"/>
  <c r="K108" i="12"/>
  <c r="N108" i="12"/>
  <c r="E108" i="6"/>
  <c r="D108" i="12"/>
  <c r="Y101" i="12"/>
  <c r="W101" i="12" s="1"/>
  <c r="D101" i="12"/>
  <c r="E101" i="6"/>
  <c r="K101" i="12"/>
  <c r="N101" i="12"/>
  <c r="D91" i="12"/>
  <c r="E91" i="6"/>
  <c r="E92" i="6"/>
  <c r="D92" i="12"/>
  <c r="K92" i="12"/>
  <c r="K91" i="12"/>
  <c r="N71" i="12"/>
  <c r="E56" i="6"/>
  <c r="K71" i="12"/>
  <c r="AO56" i="12"/>
  <c r="AO71" i="12"/>
  <c r="Y71" i="12" s="1"/>
  <c r="T66" i="12"/>
  <c r="D71" i="12"/>
  <c r="E71" i="6"/>
  <c r="W53" i="12"/>
  <c r="T53" i="12" s="1"/>
  <c r="U66" i="12"/>
  <c r="O15" i="12"/>
  <c r="N10" i="12" s="1"/>
  <c r="O56" i="12"/>
  <c r="AB17" i="5"/>
  <c r="AB56" i="5"/>
  <c r="M17" i="12"/>
  <c r="M56" i="12"/>
  <c r="E48" i="6"/>
  <c r="H26" i="8"/>
  <c r="M48" i="12"/>
  <c r="AB48" i="5"/>
  <c r="O48" i="12"/>
  <c r="AO16" i="12"/>
  <c r="AO48" i="12"/>
  <c r="V22" i="12"/>
  <c r="X43" i="12"/>
  <c r="AB36" i="5"/>
  <c r="AO36" i="12"/>
  <c r="K36" i="12"/>
  <c r="V43" i="12"/>
  <c r="U43" i="12"/>
  <c r="D36" i="12"/>
  <c r="E36" i="6"/>
  <c r="H23" i="8"/>
  <c r="O36" i="12"/>
  <c r="M36" i="12"/>
  <c r="K17" i="12"/>
  <c r="I26" i="5"/>
  <c r="O25" i="5"/>
  <c r="D24" i="12"/>
  <c r="E24" i="6"/>
  <c r="T22" i="12"/>
  <c r="X22" i="12"/>
  <c r="M16" i="12"/>
  <c r="AL14" i="13" s="1"/>
  <c r="M14" i="13" s="1"/>
  <c r="K21" i="12"/>
  <c r="AO21" i="12"/>
  <c r="M21" i="12"/>
  <c r="AB21" i="5"/>
  <c r="D21" i="12"/>
  <c r="E21" i="6"/>
  <c r="O21" i="12"/>
  <c r="AB16" i="5"/>
  <c r="I26" i="8"/>
  <c r="R26" i="8"/>
  <c r="L26" i="8"/>
  <c r="N74" i="12"/>
  <c r="O16" i="12"/>
  <c r="AB15" i="5"/>
  <c r="O17" i="12"/>
  <c r="AO17" i="12"/>
  <c r="W32" i="12"/>
  <c r="X32" i="12"/>
  <c r="X265" i="12"/>
  <c r="AF14" i="13"/>
  <c r="AC14" i="13"/>
  <c r="V265" i="12"/>
  <c r="U265" i="12"/>
  <c r="T265" i="12"/>
  <c r="AG14" i="13"/>
  <c r="AD14" i="13"/>
  <c r="Y74" i="12"/>
  <c r="K16" i="12"/>
  <c r="AO16" i="13" l="1"/>
  <c r="O16" i="13" s="1"/>
  <c r="P16" i="13" s="1"/>
  <c r="AK16" i="13"/>
  <c r="S16" i="13" s="1"/>
  <c r="Y197" i="12"/>
  <c r="W197" i="12" s="1"/>
  <c r="U197" i="12" s="1"/>
  <c r="X247" i="12"/>
  <c r="W247" i="12"/>
  <c r="Y148" i="12"/>
  <c r="X148" i="12" s="1"/>
  <c r="AN16" i="13"/>
  <c r="U16" i="13" s="1"/>
  <c r="N17" i="13"/>
  <c r="P17" i="13"/>
  <c r="W223" i="12"/>
  <c r="X223" i="12"/>
  <c r="U222" i="12"/>
  <c r="T222" i="12"/>
  <c r="V222" i="12"/>
  <c r="T220" i="12"/>
  <c r="V220" i="12"/>
  <c r="U220" i="12"/>
  <c r="X108" i="12"/>
  <c r="X216" i="12"/>
  <c r="W216" i="12"/>
  <c r="T212" i="12"/>
  <c r="V212" i="12"/>
  <c r="U212" i="12"/>
  <c r="N197" i="12"/>
  <c r="X211" i="12"/>
  <c r="W211" i="12"/>
  <c r="D16" i="12"/>
  <c r="E16" i="6"/>
  <c r="D14" i="13"/>
  <c r="X92" i="12"/>
  <c r="W184" i="12"/>
  <c r="X184" i="12"/>
  <c r="X175" i="12"/>
  <c r="W175" i="12"/>
  <c r="O25" i="11"/>
  <c r="X163" i="12"/>
  <c r="W163" i="12"/>
  <c r="V14" i="13"/>
  <c r="V15" i="13" s="1"/>
  <c r="V16" i="13" s="1"/>
  <c r="V17" i="13" s="1"/>
  <c r="V18" i="13" s="1"/>
  <c r="V19" i="13" s="1"/>
  <c r="V20" i="13" s="1"/>
  <c r="V21" i="13" s="1"/>
  <c r="V22" i="13" s="1"/>
  <c r="V23" i="13" s="1"/>
  <c r="W159" i="12"/>
  <c r="X159" i="12"/>
  <c r="D143" i="12"/>
  <c r="W149" i="12"/>
  <c r="X149" i="12"/>
  <c r="M28" i="13"/>
  <c r="O29" i="13" s="1"/>
  <c r="N91" i="12"/>
  <c r="N143" i="12"/>
  <c r="Y91" i="12"/>
  <c r="W91" i="12" s="1"/>
  <c r="AN15" i="13"/>
  <c r="U15" i="13" s="1"/>
  <c r="Y127" i="12"/>
  <c r="X127" i="12" s="1"/>
  <c r="Y143" i="12"/>
  <c r="X144" i="12"/>
  <c r="W144" i="12"/>
  <c r="W120" i="12"/>
  <c r="X120" i="12"/>
  <c r="X101" i="12"/>
  <c r="T108" i="12"/>
  <c r="V108" i="12"/>
  <c r="U108" i="12"/>
  <c r="U101" i="12"/>
  <c r="V101" i="12"/>
  <c r="T101" i="12"/>
  <c r="T92" i="12"/>
  <c r="V92" i="12"/>
  <c r="U92" i="12"/>
  <c r="P15" i="13"/>
  <c r="N15" i="13"/>
  <c r="U53" i="12"/>
  <c r="V53" i="12"/>
  <c r="L15" i="12"/>
  <c r="K15" i="12" s="1"/>
  <c r="X71" i="12"/>
  <c r="W71" i="12"/>
  <c r="N15" i="12"/>
  <c r="N17" i="12"/>
  <c r="AK14" i="13"/>
  <c r="S14" i="13" s="1"/>
  <c r="N56" i="12"/>
  <c r="Y56" i="12"/>
  <c r="Y48" i="12"/>
  <c r="X48" i="12" s="1"/>
  <c r="N48" i="12"/>
  <c r="N21" i="12"/>
  <c r="N36" i="12"/>
  <c r="P26" i="8"/>
  <c r="Y36" i="12"/>
  <c r="I27" i="5"/>
  <c r="O26" i="5"/>
  <c r="D25" i="12"/>
  <c r="E25" i="6"/>
  <c r="Y21" i="12"/>
  <c r="AB14" i="11"/>
  <c r="AB24" i="11" s="1"/>
  <c r="AB7" i="11" s="1"/>
  <c r="Z3" i="11" s="1"/>
  <c r="Y16" i="12"/>
  <c r="X16" i="12" s="1"/>
  <c r="AO14" i="13"/>
  <c r="O14" i="13" s="1"/>
  <c r="AN14" i="13"/>
  <c r="U14" i="13" s="1"/>
  <c r="O26" i="8"/>
  <c r="Y17" i="12"/>
  <c r="X17" i="12" s="1"/>
  <c r="E30" i="8"/>
  <c r="R28" i="8"/>
  <c r="F26" i="8"/>
  <c r="F27" i="8"/>
  <c r="N16" i="12"/>
  <c r="T32" i="12"/>
  <c r="V32" i="12"/>
  <c r="U32" i="12"/>
  <c r="W74" i="12"/>
  <c r="X74" i="12"/>
  <c r="D33" i="14"/>
  <c r="L24" i="13"/>
  <c r="N16" i="13" l="1"/>
  <c r="M27" i="13"/>
  <c r="W148" i="12"/>
  <c r="U148" i="12" s="1"/>
  <c r="X197" i="12"/>
  <c r="V247" i="12"/>
  <c r="T247" i="12"/>
  <c r="U247" i="12"/>
  <c r="T223" i="12"/>
  <c r="V223" i="12"/>
  <c r="U223" i="12"/>
  <c r="T216" i="12"/>
  <c r="U216" i="12"/>
  <c r="V216" i="12"/>
  <c r="T197" i="12"/>
  <c r="V197" i="12"/>
  <c r="U211" i="12"/>
  <c r="T211" i="12"/>
  <c r="V211" i="12"/>
  <c r="V184" i="12"/>
  <c r="U184" i="12"/>
  <c r="T184" i="12"/>
  <c r="V175" i="12"/>
  <c r="T175" i="12"/>
  <c r="U175" i="12"/>
  <c r="T163" i="12"/>
  <c r="V163" i="12"/>
  <c r="U163" i="12"/>
  <c r="T159" i="12"/>
  <c r="U159" i="12"/>
  <c r="V159" i="12"/>
  <c r="T149" i="12"/>
  <c r="V149" i="12"/>
  <c r="U149" i="12"/>
  <c r="M24" i="13"/>
  <c r="W127" i="12"/>
  <c r="U127" i="12" s="1"/>
  <c r="X91" i="12"/>
  <c r="AD4" i="13"/>
  <c r="W143" i="12"/>
  <c r="X143" i="12"/>
  <c r="V144" i="12"/>
  <c r="T144" i="12"/>
  <c r="U144" i="12"/>
  <c r="T127" i="12"/>
  <c r="V120" i="12"/>
  <c r="T120" i="12"/>
  <c r="U120" i="12"/>
  <c r="V91" i="12"/>
  <c r="T91" i="12"/>
  <c r="U91" i="12"/>
  <c r="U71" i="12"/>
  <c r="T71" i="12"/>
  <c r="V71" i="12"/>
  <c r="X56" i="12"/>
  <c r="W56" i="12"/>
  <c r="W48" i="12"/>
  <c r="T48" i="12" s="1"/>
  <c r="W36" i="12"/>
  <c r="X36" i="12"/>
  <c r="I28" i="5"/>
  <c r="O27" i="5"/>
  <c r="D26" i="12"/>
  <c r="E26" i="6"/>
  <c r="X21" i="12"/>
  <c r="W21" i="12"/>
  <c r="AA3" i="11"/>
  <c r="W16" i="12"/>
  <c r="T16" i="12" s="1"/>
  <c r="W17" i="12"/>
  <c r="T17" i="12" s="1"/>
  <c r="N14" i="11"/>
  <c r="N24" i="11" s="1"/>
  <c r="N25" i="11" s="1"/>
  <c r="O28" i="13"/>
  <c r="N14" i="13"/>
  <c r="P14" i="13"/>
  <c r="L29" i="8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V148" i="12" l="1"/>
  <c r="T148" i="12"/>
  <c r="AA255" i="5"/>
  <c r="AA256" i="5"/>
  <c r="AA253" i="5"/>
  <c r="AA254" i="5"/>
  <c r="AA251" i="5"/>
  <c r="AA252" i="5"/>
  <c r="AA249" i="5"/>
  <c r="AA250" i="5"/>
  <c r="AA245" i="5"/>
  <c r="AA248" i="5"/>
  <c r="AA243" i="5"/>
  <c r="AA244" i="5"/>
  <c r="AA241" i="5"/>
  <c r="AA242" i="5"/>
  <c r="AA239" i="5"/>
  <c r="AA240" i="5"/>
  <c r="AA237" i="5"/>
  <c r="AA238" i="5"/>
  <c r="AA235" i="5"/>
  <c r="AA236" i="5"/>
  <c r="AA233" i="5"/>
  <c r="AA234" i="5"/>
  <c r="AA231" i="5"/>
  <c r="AA232" i="5"/>
  <c r="AA229" i="5"/>
  <c r="AA230" i="5"/>
  <c r="AA227" i="5"/>
  <c r="AA228" i="5"/>
  <c r="AA225" i="5"/>
  <c r="AA226" i="5"/>
  <c r="AA221" i="5"/>
  <c r="AA220" i="5" s="1"/>
  <c r="AA224" i="5"/>
  <c r="AA217" i="5"/>
  <c r="AA218" i="5"/>
  <c r="AA214" i="5"/>
  <c r="AA215" i="5"/>
  <c r="AA210" i="5"/>
  <c r="AA213" i="5"/>
  <c r="AA208" i="5"/>
  <c r="AA209" i="5"/>
  <c r="AA206" i="5"/>
  <c r="AA207" i="5"/>
  <c r="AA204" i="5"/>
  <c r="AA205" i="5"/>
  <c r="AA202" i="5"/>
  <c r="AA203" i="5"/>
  <c r="AA200" i="5"/>
  <c r="AA201" i="5"/>
  <c r="AA198" i="5"/>
  <c r="AA199" i="5"/>
  <c r="AA194" i="5"/>
  <c r="AA195" i="5"/>
  <c r="AA192" i="5"/>
  <c r="AA193" i="5"/>
  <c r="AA190" i="5"/>
  <c r="AA191" i="5"/>
  <c r="AA188" i="5"/>
  <c r="AA189" i="5"/>
  <c r="AA186" i="5"/>
  <c r="AA187" i="5"/>
  <c r="AA180" i="5"/>
  <c r="AA185" i="5"/>
  <c r="AA178" i="5"/>
  <c r="AA179" i="5"/>
  <c r="AA176" i="5"/>
  <c r="AA177" i="5"/>
  <c r="AA169" i="5"/>
  <c r="AA170" i="5"/>
  <c r="AA167" i="5"/>
  <c r="AA168" i="5"/>
  <c r="AA160" i="5"/>
  <c r="AA159" i="5" s="1"/>
  <c r="AA164" i="5"/>
  <c r="AA155" i="5"/>
  <c r="AA156" i="5"/>
  <c r="AA153" i="5"/>
  <c r="AA154" i="5"/>
  <c r="AA151" i="5"/>
  <c r="AA152" i="5"/>
  <c r="AA146" i="5"/>
  <c r="AA150" i="5"/>
  <c r="V127" i="12"/>
  <c r="AA144" i="5"/>
  <c r="AA145" i="5"/>
  <c r="U143" i="12"/>
  <c r="T143" i="12"/>
  <c r="V143" i="12"/>
  <c r="AA140" i="5"/>
  <c r="AA141" i="5"/>
  <c r="AA138" i="5"/>
  <c r="AA139" i="5"/>
  <c r="AA136" i="5"/>
  <c r="AA137" i="5"/>
  <c r="AA134" i="5"/>
  <c r="AA135" i="5"/>
  <c r="AA132" i="5"/>
  <c r="AA133" i="5"/>
  <c r="AA130" i="5"/>
  <c r="AA131" i="5"/>
  <c r="AA128" i="5"/>
  <c r="AA129" i="5"/>
  <c r="AA107" i="5"/>
  <c r="AA119" i="5"/>
  <c r="AA123" i="5"/>
  <c r="AA124" i="5"/>
  <c r="AA121" i="5"/>
  <c r="AA122" i="5"/>
  <c r="AA117" i="5"/>
  <c r="AA118" i="5"/>
  <c r="AA115" i="5"/>
  <c r="AA116" i="5"/>
  <c r="AA113" i="5"/>
  <c r="AA114" i="5"/>
  <c r="AA111" i="5"/>
  <c r="AA112" i="5"/>
  <c r="AA109" i="5"/>
  <c r="AA110" i="5"/>
  <c r="AA104" i="5"/>
  <c r="AA106" i="5"/>
  <c r="AA103" i="5"/>
  <c r="AA105" i="5"/>
  <c r="AA99" i="5"/>
  <c r="AA102" i="5"/>
  <c r="AA97" i="5"/>
  <c r="AA98" i="5"/>
  <c r="AA95" i="5"/>
  <c r="AA96" i="5"/>
  <c r="AA93" i="5"/>
  <c r="AA94" i="5"/>
  <c r="AA87" i="5"/>
  <c r="AA88" i="5"/>
  <c r="AA85" i="5"/>
  <c r="AA86" i="5"/>
  <c r="AA83" i="5"/>
  <c r="AA84" i="5"/>
  <c r="AA81" i="5"/>
  <c r="AA82" i="5"/>
  <c r="AA79" i="5"/>
  <c r="AA80" i="5"/>
  <c r="AA77" i="5"/>
  <c r="AA78" i="5"/>
  <c r="AA75" i="5"/>
  <c r="AA76" i="5"/>
  <c r="AA73" i="5"/>
  <c r="AA74" i="5"/>
  <c r="AA69" i="5"/>
  <c r="AA72" i="5"/>
  <c r="AA67" i="5"/>
  <c r="AA68" i="5"/>
  <c r="AA65" i="5"/>
  <c r="AA66" i="5"/>
  <c r="AA63" i="5"/>
  <c r="AA64" i="5"/>
  <c r="AA61" i="5"/>
  <c r="AA62" i="5"/>
  <c r="AA59" i="5"/>
  <c r="AA60" i="5"/>
  <c r="AA57" i="5"/>
  <c r="AA58" i="5"/>
  <c r="U56" i="12"/>
  <c r="V56" i="12"/>
  <c r="T56" i="12"/>
  <c r="AA51" i="5"/>
  <c r="AA52" i="5"/>
  <c r="V48" i="12"/>
  <c r="U48" i="12"/>
  <c r="AA49" i="5"/>
  <c r="AA50" i="5"/>
  <c r="O29" i="8"/>
  <c r="AA45" i="5"/>
  <c r="AA46" i="5"/>
  <c r="K6" i="14"/>
  <c r="L6" i="14" s="1"/>
  <c r="AA43" i="5"/>
  <c r="AA44" i="5"/>
  <c r="AA41" i="5"/>
  <c r="AA42" i="5"/>
  <c r="AA39" i="5"/>
  <c r="AA40" i="5"/>
  <c r="AA37" i="5"/>
  <c r="AA38" i="5"/>
  <c r="V36" i="12"/>
  <c r="U36" i="12"/>
  <c r="T36" i="12"/>
  <c r="AA32" i="5"/>
  <c r="AA33" i="5"/>
  <c r="AA30" i="5"/>
  <c r="AA31" i="5"/>
  <c r="AA28" i="5"/>
  <c r="AA29" i="5"/>
  <c r="I29" i="5"/>
  <c r="O28" i="5"/>
  <c r="AA26" i="5"/>
  <c r="AA27" i="5"/>
  <c r="D27" i="12"/>
  <c r="E27" i="6"/>
  <c r="AA24" i="5"/>
  <c r="AA25" i="5"/>
  <c r="AA22" i="5"/>
  <c r="AA23" i="5"/>
  <c r="U21" i="12"/>
  <c r="V21" i="12"/>
  <c r="T21" i="12"/>
  <c r="AA19" i="5"/>
  <c r="AA18" i="5"/>
  <c r="AD12" i="11"/>
  <c r="AD15" i="11"/>
  <c r="AD20" i="11"/>
  <c r="AD14" i="11"/>
  <c r="AD16" i="11"/>
  <c r="AD21" i="11"/>
  <c r="AD22" i="11"/>
  <c r="AD23" i="11"/>
  <c r="AD18" i="11"/>
  <c r="AD19" i="11"/>
  <c r="AD17" i="11"/>
  <c r="L27" i="13"/>
  <c r="AC27" i="13" s="1"/>
  <c r="V16" i="12"/>
  <c r="U16" i="12"/>
  <c r="U17" i="12"/>
  <c r="V17" i="12"/>
  <c r="F30" i="8"/>
  <c r="F33" i="14"/>
  <c r="N28" i="13"/>
  <c r="AE4" i="13" s="1"/>
  <c r="O27" i="13" s="1"/>
  <c r="AD6" i="13"/>
  <c r="P24" i="13"/>
  <c r="O24" i="13"/>
  <c r="P29" i="8"/>
  <c r="E33" i="8"/>
  <c r="R31" i="8"/>
  <c r="AA247" i="5" l="1"/>
  <c r="AA216" i="5"/>
  <c r="AA222" i="5"/>
  <c r="AA223" i="5"/>
  <c r="AA212" i="5"/>
  <c r="AA197" i="5"/>
  <c r="AA184" i="5"/>
  <c r="AA175" i="5"/>
  <c r="AA163" i="5"/>
  <c r="AA143" i="5"/>
  <c r="AA149" i="5"/>
  <c r="AA148" i="5"/>
  <c r="AA127" i="5"/>
  <c r="AA120" i="5"/>
  <c r="AA108" i="5"/>
  <c r="AA91" i="5"/>
  <c r="AA15" i="11" s="1"/>
  <c r="Z15" i="11" s="1"/>
  <c r="AA101" i="5"/>
  <c r="AA92" i="5"/>
  <c r="AA71" i="5"/>
  <c r="AA56" i="5"/>
  <c r="AA48" i="5"/>
  <c r="AA36" i="5"/>
  <c r="I30" i="5"/>
  <c r="O29" i="5"/>
  <c r="D28" i="12"/>
  <c r="E28" i="6"/>
  <c r="AA21" i="5"/>
  <c r="AA16" i="5"/>
  <c r="AA14" i="11" s="1"/>
  <c r="AA15" i="5"/>
  <c r="AA17" i="5"/>
  <c r="AE22" i="11"/>
  <c r="M22" i="11" s="1"/>
  <c r="L22" i="11" s="1"/>
  <c r="AD27" i="13"/>
  <c r="AE12" i="11"/>
  <c r="M12" i="11" s="1"/>
  <c r="L12" i="11" s="1"/>
  <c r="D32" i="14"/>
  <c r="AE20" i="11"/>
  <c r="M20" i="11" s="1"/>
  <c r="L20" i="11" s="1"/>
  <c r="AE23" i="11"/>
  <c r="M23" i="11" s="1"/>
  <c r="L23" i="11" s="1"/>
  <c r="AE19" i="11"/>
  <c r="M19" i="11" s="1"/>
  <c r="L19" i="11" s="1"/>
  <c r="AE15" i="11"/>
  <c r="AE17" i="11"/>
  <c r="AE14" i="11"/>
  <c r="AE21" i="11"/>
  <c r="M21" i="11" s="1"/>
  <c r="L21" i="11" s="1"/>
  <c r="AE16" i="11"/>
  <c r="AE18" i="11"/>
  <c r="M18" i="11" s="1"/>
  <c r="L18" i="11" s="1"/>
  <c r="N27" i="13"/>
  <c r="E32" i="14" s="1"/>
  <c r="F32" i="14"/>
  <c r="E33" i="14"/>
  <c r="N24" i="13"/>
  <c r="E34" i="14"/>
  <c r="G10" i="13"/>
  <c r="F34" i="14"/>
  <c r="AE6" i="13"/>
  <c r="I32" i="8"/>
  <c r="R32" i="8"/>
  <c r="F32" i="8" s="1"/>
  <c r="L32" i="8"/>
  <c r="H32" i="8"/>
  <c r="AA17" i="11" l="1"/>
  <c r="Z17" i="11" s="1"/>
  <c r="AJ17" i="13"/>
  <c r="R17" i="13" s="1"/>
  <c r="AM17" i="13"/>
  <c r="T17" i="13" s="1"/>
  <c r="AJ16" i="13"/>
  <c r="R16" i="13" s="1"/>
  <c r="AM16" i="13"/>
  <c r="T16" i="13" s="1"/>
  <c r="AA16" i="11"/>
  <c r="Z16" i="11" s="1"/>
  <c r="AJ15" i="13"/>
  <c r="R15" i="13" s="1"/>
  <c r="M15" i="11"/>
  <c r="L15" i="11" s="1"/>
  <c r="AM15" i="13"/>
  <c r="T15" i="13" s="1"/>
  <c r="O32" i="8"/>
  <c r="AJ14" i="13"/>
  <c r="R14" i="13" s="1"/>
  <c r="I31" i="5"/>
  <c r="O30" i="5"/>
  <c r="D29" i="12"/>
  <c r="E29" i="6"/>
  <c r="AM14" i="13"/>
  <c r="T14" i="13" s="1"/>
  <c r="Z14" i="11"/>
  <c r="M14" i="11"/>
  <c r="P32" i="8"/>
  <c r="F33" i="8"/>
  <c r="R34" i="8"/>
  <c r="E36" i="8"/>
  <c r="M17" i="11" l="1"/>
  <c r="L17" i="11" s="1"/>
  <c r="Z24" i="11"/>
  <c r="AA24" i="11"/>
  <c r="M16" i="11"/>
  <c r="L16" i="11" s="1"/>
  <c r="M26" i="13"/>
  <c r="M25" i="13" s="1"/>
  <c r="AD3" i="13"/>
  <c r="AD2" i="13" s="1"/>
  <c r="I32" i="5"/>
  <c r="O31" i="5"/>
  <c r="E30" i="6"/>
  <c r="D30" i="12"/>
  <c r="L14" i="11"/>
  <c r="I35" i="8"/>
  <c r="H35" i="8"/>
  <c r="R35" i="8"/>
  <c r="F36" i="8" s="1"/>
  <c r="L35" i="8"/>
  <c r="M24" i="11" l="1"/>
  <c r="L26" i="13" s="1"/>
  <c r="L24" i="11"/>
  <c r="L25" i="13" s="1"/>
  <c r="D30" i="14" s="1"/>
  <c r="AE3" i="13"/>
  <c r="O26" i="13" s="1"/>
  <c r="O25" i="13" s="1"/>
  <c r="N25" i="13" s="1"/>
  <c r="E30" i="14" s="1"/>
  <c r="O35" i="8"/>
  <c r="M17" i="8"/>
  <c r="M20" i="8"/>
  <c r="M26" i="8"/>
  <c r="M29" i="8"/>
  <c r="M23" i="8"/>
  <c r="M14" i="8"/>
  <c r="Q14" i="8" s="1"/>
  <c r="I33" i="5"/>
  <c r="O32" i="5"/>
  <c r="D31" i="12"/>
  <c r="E31" i="6"/>
  <c r="P35" i="8"/>
  <c r="F35" i="8"/>
  <c r="R37" i="8"/>
  <c r="M32" i="8"/>
  <c r="E39" i="8"/>
  <c r="N26" i="13" l="1"/>
  <c r="E31" i="14" s="1"/>
  <c r="M25" i="11"/>
  <c r="M10" i="11"/>
  <c r="N10" i="13" s="1"/>
  <c r="L25" i="11"/>
  <c r="L10" i="11"/>
  <c r="M10" i="13" s="1"/>
  <c r="F31" i="14"/>
  <c r="F30" i="14"/>
  <c r="AE2" i="13"/>
  <c r="G15" i="8"/>
  <c r="C14" i="8"/>
  <c r="G14" i="8"/>
  <c r="I15" i="8" s="1"/>
  <c r="E16" i="8"/>
  <c r="B14" i="8"/>
  <c r="I34" i="5"/>
  <c r="I35" i="5" s="1"/>
  <c r="I36" i="5" s="1"/>
  <c r="I37" i="5" s="1"/>
  <c r="O33" i="5"/>
  <c r="D32" i="12"/>
  <c r="E32" i="6"/>
  <c r="AD26" i="13"/>
  <c r="AC26" i="13"/>
  <c r="D31" i="14"/>
  <c r="H38" i="8"/>
  <c r="L38" i="8"/>
  <c r="I38" i="8"/>
  <c r="R38" i="8"/>
  <c r="F39" i="8" s="1"/>
  <c r="G9" i="11" l="1"/>
  <c r="I38" i="5"/>
  <c r="O37" i="5"/>
  <c r="E33" i="6"/>
  <c r="D33" i="12"/>
  <c r="P38" i="8"/>
  <c r="F38" i="8"/>
  <c r="O38" i="8"/>
  <c r="R40" i="8"/>
  <c r="E42" i="8"/>
  <c r="I39" i="5" l="1"/>
  <c r="O38" i="5"/>
  <c r="E37" i="6"/>
  <c r="D37" i="12"/>
  <c r="L41" i="8"/>
  <c r="H41" i="8"/>
  <c r="I41" i="8"/>
  <c r="R41" i="8"/>
  <c r="F42" i="8" s="1"/>
  <c r="O41" i="8" l="1"/>
  <c r="I40" i="5"/>
  <c r="O39" i="5"/>
  <c r="E38" i="6"/>
  <c r="D38" i="12"/>
  <c r="P41" i="8"/>
  <c r="F41" i="8"/>
  <c r="R43" i="8"/>
  <c r="E45" i="8"/>
  <c r="I41" i="5" l="1"/>
  <c r="O40" i="5"/>
  <c r="E39" i="6"/>
  <c r="D39" i="12"/>
  <c r="H44" i="8"/>
  <c r="I44" i="8"/>
  <c r="R44" i="8"/>
  <c r="F45" i="8" s="1"/>
  <c r="L44" i="8"/>
  <c r="O44" i="8" l="1"/>
  <c r="I42" i="5"/>
  <c r="O41" i="5"/>
  <c r="D40" i="12"/>
  <c r="E40" i="6"/>
  <c r="R46" i="8"/>
  <c r="E48" i="8"/>
  <c r="F44" i="8"/>
  <c r="P44" i="8"/>
  <c r="I43" i="5" l="1"/>
  <c r="O42" i="5"/>
  <c r="D41" i="12"/>
  <c r="E41" i="6"/>
  <c r="L47" i="8"/>
  <c r="H47" i="8"/>
  <c r="R47" i="8"/>
  <c r="F48" i="8" s="1"/>
  <c r="I47" i="8"/>
  <c r="O47" i="8" l="1"/>
  <c r="I44" i="5"/>
  <c r="O43" i="5"/>
  <c r="E42" i="6"/>
  <c r="D42" i="12"/>
  <c r="P47" i="8"/>
  <c r="R49" i="8"/>
  <c r="E51" i="8"/>
  <c r="F47" i="8"/>
  <c r="I45" i="5" l="1"/>
  <c r="O44" i="5"/>
  <c r="E43" i="6"/>
  <c r="D43" i="12"/>
  <c r="L50" i="8"/>
  <c r="R50" i="8"/>
  <c r="F50" i="8" s="1"/>
  <c r="I50" i="8"/>
  <c r="H50" i="8"/>
  <c r="I46" i="5" l="1"/>
  <c r="O45" i="5"/>
  <c r="E44" i="6"/>
  <c r="D44" i="12"/>
  <c r="O50" i="8"/>
  <c r="P50" i="8"/>
  <c r="F51" i="8"/>
  <c r="R52" i="8"/>
  <c r="E54" i="8"/>
  <c r="I47" i="5" l="1"/>
  <c r="I48" i="5" s="1"/>
  <c r="I49" i="5" s="1"/>
  <c r="O46" i="5"/>
  <c r="D45" i="12"/>
  <c r="E45" i="6"/>
  <c r="I53" i="8"/>
  <c r="L53" i="8"/>
  <c r="H53" i="8"/>
  <c r="R53" i="8"/>
  <c r="F54" i="8" s="1"/>
  <c r="O53" i="8" l="1"/>
  <c r="P53" i="8"/>
  <c r="I50" i="5"/>
  <c r="O49" i="5"/>
  <c r="E46" i="6"/>
  <c r="D46" i="12"/>
  <c r="F53" i="8"/>
  <c r="E57" i="8"/>
  <c r="R55" i="8"/>
  <c r="I51" i="5" l="1"/>
  <c r="O50" i="5"/>
  <c r="E49" i="6"/>
  <c r="D49" i="12"/>
  <c r="I56" i="8"/>
  <c r="R56" i="8"/>
  <c r="F56" i="8" s="1"/>
  <c r="L56" i="8"/>
  <c r="H56" i="8"/>
  <c r="P56" i="8" l="1"/>
  <c r="O56" i="8"/>
  <c r="I52" i="5"/>
  <c r="O51" i="5"/>
  <c r="E50" i="6"/>
  <c r="D50" i="12"/>
  <c r="F57" i="8"/>
  <c r="R58" i="8"/>
  <c r="E60" i="8"/>
  <c r="I53" i="5" l="1"/>
  <c r="I54" i="5" s="1"/>
  <c r="I55" i="5" s="1"/>
  <c r="I56" i="5" s="1"/>
  <c r="I57" i="5" s="1"/>
  <c r="O52" i="5"/>
  <c r="E51" i="6"/>
  <c r="D51" i="12"/>
  <c r="I59" i="8"/>
  <c r="L59" i="8"/>
  <c r="H59" i="8"/>
  <c r="R59" i="8"/>
  <c r="M50" i="8" l="1"/>
  <c r="M47" i="8"/>
  <c r="M44" i="8"/>
  <c r="M35" i="8"/>
  <c r="M38" i="8"/>
  <c r="M41" i="8"/>
  <c r="M53" i="8"/>
  <c r="O59" i="8"/>
  <c r="P59" i="8"/>
  <c r="I58" i="5"/>
  <c r="O57" i="5"/>
  <c r="D52" i="12"/>
  <c r="E52" i="6"/>
  <c r="F60" i="8"/>
  <c r="F59" i="8"/>
  <c r="R61" i="8"/>
  <c r="E63" i="8"/>
  <c r="I59" i="5" l="1"/>
  <c r="O58" i="5"/>
  <c r="D57" i="12"/>
  <c r="E57" i="6"/>
  <c r="R62" i="8"/>
  <c r="F63" i="8" s="1"/>
  <c r="I62" i="8"/>
  <c r="L62" i="8"/>
  <c r="H62" i="8"/>
  <c r="P62" i="8" l="1"/>
  <c r="O62" i="8"/>
  <c r="I60" i="5"/>
  <c r="O59" i="5"/>
  <c r="E58" i="6"/>
  <c r="D58" i="12"/>
  <c r="F62" i="8"/>
  <c r="E66" i="8"/>
  <c r="R64" i="8"/>
  <c r="I61" i="5" l="1"/>
  <c r="O60" i="5"/>
  <c r="E59" i="6"/>
  <c r="D59" i="12"/>
  <c r="I65" i="8"/>
  <c r="H65" i="8"/>
  <c r="L65" i="8"/>
  <c r="R65" i="8"/>
  <c r="F65" i="8" s="1"/>
  <c r="O65" i="8" l="1"/>
  <c r="P65" i="8"/>
  <c r="I62" i="5"/>
  <c r="O61" i="5"/>
  <c r="D60" i="12"/>
  <c r="E60" i="6"/>
  <c r="E69" i="8"/>
  <c r="R67" i="8"/>
  <c r="F66" i="8"/>
  <c r="I63" i="5" l="1"/>
  <c r="O62" i="5"/>
  <c r="E61" i="6"/>
  <c r="D61" i="12"/>
  <c r="L68" i="8"/>
  <c r="I68" i="8"/>
  <c r="H68" i="8"/>
  <c r="R68" i="8"/>
  <c r="F69" i="8" s="1"/>
  <c r="O68" i="8" l="1"/>
  <c r="P68" i="8"/>
  <c r="I64" i="5"/>
  <c r="O63" i="5"/>
  <c r="D62" i="12"/>
  <c r="E62" i="6"/>
  <c r="F68" i="8"/>
  <c r="E72" i="8"/>
  <c r="R70" i="8"/>
  <c r="I65" i="5" l="1"/>
  <c r="O64" i="5"/>
  <c r="E63" i="6"/>
  <c r="D63" i="12"/>
  <c r="R71" i="8"/>
  <c r="F72" i="8" s="1"/>
  <c r="L71" i="8"/>
  <c r="I71" i="8"/>
  <c r="H71" i="8"/>
  <c r="P71" i="8" l="1"/>
  <c r="O71" i="8"/>
  <c r="I66" i="5"/>
  <c r="O65" i="5"/>
  <c r="D64" i="12"/>
  <c r="E64" i="6"/>
  <c r="F71" i="8"/>
  <c r="R73" i="8"/>
  <c r="E75" i="8"/>
  <c r="I67" i="5" l="1"/>
  <c r="O66" i="5"/>
  <c r="D65" i="12"/>
  <c r="E65" i="6"/>
  <c r="L74" i="8"/>
  <c r="H74" i="8"/>
  <c r="R74" i="8"/>
  <c r="F75" i="8" s="1"/>
  <c r="P74" i="8" l="1"/>
  <c r="O74" i="8"/>
  <c r="I68" i="5"/>
  <c r="O67" i="5"/>
  <c r="E66" i="6"/>
  <c r="D66" i="12"/>
  <c r="F74" i="8"/>
  <c r="E78" i="8"/>
  <c r="R76" i="8"/>
  <c r="I69" i="5" l="1"/>
  <c r="O68" i="5"/>
  <c r="E67" i="6"/>
  <c r="D67" i="12"/>
  <c r="H77" i="8"/>
  <c r="R77" i="8"/>
  <c r="F77" i="8" s="1"/>
  <c r="L77" i="8"/>
  <c r="O77" i="8" l="1"/>
  <c r="P77" i="8"/>
  <c r="I70" i="5"/>
  <c r="I71" i="5" s="1"/>
  <c r="I72" i="5" s="1"/>
  <c r="O69" i="5"/>
  <c r="D68" i="12"/>
  <c r="E68" i="6"/>
  <c r="F78" i="8"/>
  <c r="R79" i="8"/>
  <c r="E81" i="8"/>
  <c r="I73" i="5" l="1"/>
  <c r="O72" i="5"/>
  <c r="E69" i="6"/>
  <c r="D69" i="12"/>
  <c r="R80" i="8"/>
  <c r="H80" i="8"/>
  <c r="L80" i="8"/>
  <c r="P80" i="8" l="1"/>
  <c r="O80" i="8"/>
  <c r="I74" i="5"/>
  <c r="O73" i="5"/>
  <c r="D72" i="12"/>
  <c r="E72" i="6"/>
  <c r="F80" i="8"/>
  <c r="R82" i="8"/>
  <c r="E84" i="8"/>
  <c r="F81" i="8"/>
  <c r="I75" i="5" l="1"/>
  <c r="O74" i="5"/>
  <c r="D73" i="12"/>
  <c r="E73" i="6"/>
  <c r="R83" i="8"/>
  <c r="H83" i="8"/>
  <c r="L83" i="8"/>
  <c r="O83" i="8" l="1"/>
  <c r="P83" i="8"/>
  <c r="I76" i="5"/>
  <c r="O75" i="5"/>
  <c r="D74" i="12"/>
  <c r="E74" i="6"/>
  <c r="F83" i="8"/>
  <c r="F84" i="8"/>
  <c r="E87" i="8"/>
  <c r="R85" i="8"/>
  <c r="I77" i="5" l="1"/>
  <c r="O76" i="5"/>
  <c r="E75" i="6"/>
  <c r="D75" i="12"/>
  <c r="R86" i="8"/>
  <c r="L86" i="8"/>
  <c r="H86" i="8"/>
  <c r="M59" i="8" l="1"/>
  <c r="M65" i="8"/>
  <c r="M80" i="8"/>
  <c r="M71" i="8"/>
  <c r="M68" i="8"/>
  <c r="M62" i="8"/>
  <c r="M56" i="8"/>
  <c r="M74" i="8"/>
  <c r="M77" i="8"/>
  <c r="M83" i="8"/>
  <c r="O86" i="8"/>
  <c r="P86" i="8"/>
  <c r="N86" i="8"/>
  <c r="I78" i="5"/>
  <c r="O77" i="5"/>
  <c r="D76" i="12"/>
  <c r="E76" i="6"/>
  <c r="F86" i="8"/>
  <c r="F87" i="8"/>
  <c r="E90" i="8"/>
  <c r="R88" i="8"/>
  <c r="I79" i="5" l="1"/>
  <c r="O78" i="5"/>
  <c r="E77" i="6"/>
  <c r="D77" i="12"/>
  <c r="L89" i="8"/>
  <c r="R89" i="8"/>
  <c r="H89" i="8"/>
  <c r="P89" i="8" l="1"/>
  <c r="O89" i="8"/>
  <c r="I80" i="5"/>
  <c r="O79" i="5"/>
  <c r="D78" i="12"/>
  <c r="E78" i="6"/>
  <c r="F90" i="8"/>
  <c r="F89" i="8"/>
  <c r="R91" i="8"/>
  <c r="E93" i="8"/>
  <c r="I81" i="5" l="1"/>
  <c r="O80" i="5"/>
  <c r="E79" i="6"/>
  <c r="D79" i="12"/>
  <c r="R92" i="8"/>
  <c r="L92" i="8"/>
  <c r="H92" i="8"/>
  <c r="P92" i="8" l="1"/>
  <c r="O92" i="8"/>
  <c r="I82" i="5"/>
  <c r="O81" i="5"/>
  <c r="E80" i="6"/>
  <c r="D80" i="12"/>
  <c r="F93" i="8"/>
  <c r="F92" i="8"/>
  <c r="R94" i="8"/>
  <c r="E96" i="8"/>
  <c r="I83" i="5" l="1"/>
  <c r="O82" i="5"/>
  <c r="D81" i="12"/>
  <c r="E81" i="6"/>
  <c r="L95" i="8"/>
  <c r="I95" i="8"/>
  <c r="H95" i="8"/>
  <c r="R95" i="8"/>
  <c r="M86" i="8" l="1"/>
  <c r="Q86" i="8" s="1"/>
  <c r="M89" i="8"/>
  <c r="M92" i="8"/>
  <c r="N95" i="8"/>
  <c r="O95" i="8"/>
  <c r="P95" i="8"/>
  <c r="I84" i="5"/>
  <c r="O83" i="5"/>
  <c r="D82" i="12"/>
  <c r="E82" i="6"/>
  <c r="R97" i="8"/>
  <c r="E99" i="8"/>
  <c r="F95" i="8"/>
  <c r="G95" i="8"/>
  <c r="I96" i="8" s="1"/>
  <c r="G96" i="8"/>
  <c r="F96" i="8"/>
  <c r="G87" i="8" l="1"/>
  <c r="B86" i="8"/>
  <c r="G86" i="8"/>
  <c r="I87" i="8" s="1"/>
  <c r="E88" i="8"/>
  <c r="C86" i="8"/>
  <c r="I85" i="5"/>
  <c r="O84" i="5"/>
  <c r="E83" i="6"/>
  <c r="D83" i="12"/>
  <c r="R98" i="8"/>
  <c r="L98" i="8"/>
  <c r="H98" i="8"/>
  <c r="I98" i="8"/>
  <c r="M95" i="8" l="1"/>
  <c r="Q95" i="8" s="1"/>
  <c r="B95" i="8" s="1"/>
  <c r="P98" i="8"/>
  <c r="O98" i="8"/>
  <c r="N98" i="8"/>
  <c r="I86" i="5"/>
  <c r="O85" i="5"/>
  <c r="D84" i="12"/>
  <c r="E84" i="6"/>
  <c r="F98" i="8"/>
  <c r="R100" i="8"/>
  <c r="E102" i="8"/>
  <c r="F99" i="8"/>
  <c r="G99" i="8"/>
  <c r="G98" i="8"/>
  <c r="I99" i="8" s="1"/>
  <c r="W97" i="8" l="1"/>
  <c r="W95" i="8" s="1"/>
  <c r="Y97" i="8"/>
  <c r="Y95" i="8" s="1"/>
  <c r="T97" i="8"/>
  <c r="T95" i="8" s="1"/>
  <c r="AD97" i="8"/>
  <c r="AD95" i="8" s="1"/>
  <c r="Z97" i="8"/>
  <c r="Z95" i="8" s="1"/>
  <c r="X97" i="8"/>
  <c r="X95" i="8" s="1"/>
  <c r="V97" i="8"/>
  <c r="V95" i="8" s="1"/>
  <c r="AC97" i="8"/>
  <c r="AC95" i="8" s="1"/>
  <c r="U97" i="8"/>
  <c r="U95" i="8" s="1"/>
  <c r="E97" i="8"/>
  <c r="AA97" i="8"/>
  <c r="AA95" i="8" s="1"/>
  <c r="D97" i="8"/>
  <c r="D95" i="8" s="1"/>
  <c r="AE97" i="8"/>
  <c r="AE95" i="8" s="1"/>
  <c r="AB97" i="8"/>
  <c r="AB95" i="8" s="1"/>
  <c r="C95" i="8"/>
  <c r="I87" i="5"/>
  <c r="O86" i="5"/>
  <c r="E85" i="6"/>
  <c r="D85" i="12"/>
  <c r="I101" i="8"/>
  <c r="H101" i="8"/>
  <c r="R101" i="8"/>
  <c r="L101" i="8"/>
  <c r="M98" i="8" l="1"/>
  <c r="Q98" i="8" s="1"/>
  <c r="C98" i="8" s="1"/>
  <c r="N101" i="8"/>
  <c r="O101" i="8"/>
  <c r="P101" i="8"/>
  <c r="I88" i="5"/>
  <c r="O87" i="5"/>
  <c r="E86" i="6"/>
  <c r="D86" i="12"/>
  <c r="F101" i="8"/>
  <c r="R103" i="8"/>
  <c r="E105" i="8"/>
  <c r="G101" i="8"/>
  <c r="I102" i="8" s="1"/>
  <c r="G102" i="8"/>
  <c r="F102" i="8"/>
  <c r="Y100" i="8" l="1"/>
  <c r="Y98" i="8" s="1"/>
  <c r="AA100" i="8"/>
  <c r="AA98" i="8" s="1"/>
  <c r="V100" i="8"/>
  <c r="V98" i="8" s="1"/>
  <c r="AC100" i="8"/>
  <c r="AC98" i="8" s="1"/>
  <c r="AD100" i="8"/>
  <c r="AD98" i="8" s="1"/>
  <c r="X100" i="8"/>
  <c r="X98" i="8" s="1"/>
  <c r="AB100" i="8"/>
  <c r="AB98" i="8" s="1"/>
  <c r="Z100" i="8"/>
  <c r="Z98" i="8" s="1"/>
  <c r="U100" i="8"/>
  <c r="U98" i="8" s="1"/>
  <c r="W100" i="8"/>
  <c r="W98" i="8" s="1"/>
  <c r="AE100" i="8"/>
  <c r="AE98" i="8" s="1"/>
  <c r="T100" i="8"/>
  <c r="T98" i="8" s="1"/>
  <c r="D100" i="8"/>
  <c r="D98" i="8" s="1"/>
  <c r="E100" i="8"/>
  <c r="B98" i="8"/>
  <c r="I89" i="5"/>
  <c r="I90" i="5" s="1"/>
  <c r="I91" i="5" s="1"/>
  <c r="I92" i="5" s="1"/>
  <c r="I93" i="5" s="1"/>
  <c r="O88" i="5"/>
  <c r="D87" i="12"/>
  <c r="E87" i="6"/>
  <c r="H104" i="8"/>
  <c r="L104" i="8"/>
  <c r="N104" i="8" s="1"/>
  <c r="I104" i="8"/>
  <c r="R104" i="8"/>
  <c r="F105" i="8" s="1"/>
  <c r="O104" i="8" l="1"/>
  <c r="P104" i="8"/>
  <c r="M101" i="8"/>
  <c r="Q101" i="8" s="1"/>
  <c r="C101" i="8" s="1"/>
  <c r="I94" i="5"/>
  <c r="O93" i="5"/>
  <c r="D88" i="12"/>
  <c r="E88" i="6"/>
  <c r="F104" i="8"/>
  <c r="G105" i="8"/>
  <c r="G104" i="8"/>
  <c r="I105" i="8" s="1"/>
  <c r="R106" i="8"/>
  <c r="E108" i="8"/>
  <c r="AE103" i="8" l="1"/>
  <c r="AE101" i="8" s="1"/>
  <c r="V103" i="8"/>
  <c r="V101" i="8" s="1"/>
  <c r="X103" i="8"/>
  <c r="X101" i="8" s="1"/>
  <c r="D103" i="8"/>
  <c r="D101" i="8" s="1"/>
  <c r="T103" i="8"/>
  <c r="T101" i="8" s="1"/>
  <c r="AB103" i="8"/>
  <c r="AB101" i="8" s="1"/>
  <c r="Z103" i="8"/>
  <c r="Z101" i="8" s="1"/>
  <c r="AD103" i="8"/>
  <c r="AD101" i="8" s="1"/>
  <c r="U103" i="8"/>
  <c r="U101" i="8" s="1"/>
  <c r="W103" i="8"/>
  <c r="W101" i="8" s="1"/>
  <c r="Y103" i="8"/>
  <c r="Y101" i="8" s="1"/>
  <c r="AC103" i="8"/>
  <c r="AC101" i="8" s="1"/>
  <c r="AA103" i="8"/>
  <c r="AA101" i="8" s="1"/>
  <c r="E103" i="8"/>
  <c r="B101" i="8"/>
  <c r="I95" i="5"/>
  <c r="O94" i="5"/>
  <c r="E93" i="6"/>
  <c r="D93" i="12"/>
  <c r="L107" i="8"/>
  <c r="M104" i="8" s="1"/>
  <c r="Q104" i="8" s="1"/>
  <c r="B104" i="8" s="1"/>
  <c r="H107" i="8"/>
  <c r="R107" i="8"/>
  <c r="I107" i="8"/>
  <c r="O107" i="8" l="1"/>
  <c r="P107" i="8"/>
  <c r="N107" i="8"/>
  <c r="C104" i="8"/>
  <c r="E106" i="8"/>
  <c r="X106" i="8"/>
  <c r="X104" i="8" s="1"/>
  <c r="AE106" i="8"/>
  <c r="AE104" i="8" s="1"/>
  <c r="I96" i="5"/>
  <c r="O95" i="5"/>
  <c r="D94" i="12"/>
  <c r="E94" i="6"/>
  <c r="Y106" i="8"/>
  <c r="Y104" i="8" s="1"/>
  <c r="U106" i="8"/>
  <c r="U104" i="8" s="1"/>
  <c r="W106" i="8"/>
  <c r="W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E111" i="8"/>
  <c r="I97" i="5" l="1"/>
  <c r="O96" i="5"/>
  <c r="D95" i="12"/>
  <c r="E95" i="6"/>
  <c r="R110" i="8"/>
  <c r="F111" i="8" s="1"/>
  <c r="H110" i="8"/>
  <c r="I110" i="8"/>
  <c r="L110" i="8"/>
  <c r="M107" i="8" s="1"/>
  <c r="Q107" i="8" s="1"/>
  <c r="E109" i="8" s="1"/>
  <c r="O110" i="8" l="1"/>
  <c r="N110" i="8"/>
  <c r="P110" i="8"/>
  <c r="C107" i="8"/>
  <c r="D109" i="8"/>
  <c r="D107" i="8" s="1"/>
  <c r="B107" i="8"/>
  <c r="AC109" i="8"/>
  <c r="AC107" i="8" s="1"/>
  <c r="I98" i="5"/>
  <c r="O97" i="5"/>
  <c r="E96" i="6"/>
  <c r="D96" i="12"/>
  <c r="Y109" i="8"/>
  <c r="Y107" i="8" s="1"/>
  <c r="T109" i="8"/>
  <c r="T107" i="8" s="1"/>
  <c r="U109" i="8"/>
  <c r="U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E114" i="8"/>
  <c r="G111" i="8"/>
  <c r="G110" i="8"/>
  <c r="I111" i="8" s="1"/>
  <c r="I99" i="5" l="1"/>
  <c r="O98" i="5"/>
  <c r="E97" i="6"/>
  <c r="D97" i="12"/>
  <c r="P113" i="8"/>
  <c r="N113" i="8"/>
  <c r="O113" i="8"/>
  <c r="L113" i="8"/>
  <c r="M110" i="8" s="1"/>
  <c r="Q110" i="8" s="1"/>
  <c r="B110" i="8" s="1"/>
  <c r="M113" i="8"/>
  <c r="I113" i="8"/>
  <c r="R113" i="8"/>
  <c r="H113" i="8"/>
  <c r="U112" i="8" l="1"/>
  <c r="U110" i="8" s="1"/>
  <c r="C110" i="8"/>
  <c r="E112" i="8"/>
  <c r="I100" i="5"/>
  <c r="I101" i="5" s="1"/>
  <c r="I102" i="5" s="1"/>
  <c r="O99" i="5"/>
  <c r="D98" i="12"/>
  <c r="E98" i="6"/>
  <c r="F114" i="8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I103" i="5" l="1"/>
  <c r="O102" i="5"/>
  <c r="E99" i="6"/>
  <c r="D99" i="12"/>
  <c r="B113" i="8"/>
  <c r="C113" i="8"/>
  <c r="E115" i="8"/>
  <c r="M116" i="8"/>
  <c r="L116" i="8"/>
  <c r="P116" i="8"/>
  <c r="R116" i="8"/>
  <c r="H116" i="8"/>
  <c r="O116" i="8"/>
  <c r="N116" i="8"/>
  <c r="I116" i="8"/>
  <c r="I104" i="5" l="1"/>
  <c r="O103" i="5"/>
  <c r="E102" i="6"/>
  <c r="D102" i="12"/>
  <c r="F116" i="8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I105" i="5" l="1"/>
  <c r="I106" i="5" s="1"/>
  <c r="O104" i="5"/>
  <c r="E103" i="6"/>
  <c r="D103" i="12"/>
  <c r="O119" i="8"/>
  <c r="H119" i="8"/>
  <c r="N119" i="8"/>
  <c r="R119" i="8"/>
  <c r="F119" i="8" s="1"/>
  <c r="L119" i="8"/>
  <c r="I119" i="8"/>
  <c r="P119" i="8"/>
  <c r="M119" i="8"/>
  <c r="C116" i="8"/>
  <c r="B116" i="8"/>
  <c r="E118" i="8"/>
  <c r="I107" i="5" l="1"/>
  <c r="O106" i="5"/>
  <c r="O105" i="5"/>
  <c r="E105" i="6" s="1"/>
  <c r="E104" i="6"/>
  <c r="D104" i="12"/>
  <c r="AB118" i="8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I108" i="5" l="1"/>
  <c r="I109" i="5" s="1"/>
  <c r="I110" i="5" s="1"/>
  <c r="O107" i="5"/>
  <c r="E106" i="6"/>
  <c r="D106" i="12"/>
  <c r="D105" i="12"/>
  <c r="M122" i="8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O109" i="5" l="1"/>
  <c r="D109" i="12" s="1"/>
  <c r="E107" i="6"/>
  <c r="D107" i="12"/>
  <c r="I111" i="5"/>
  <c r="O110" i="5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E109" i="6" l="1"/>
  <c r="I112" i="5"/>
  <c r="O111" i="5"/>
  <c r="E110" i="6"/>
  <c r="D110" i="12"/>
  <c r="H125" i="8"/>
  <c r="O125" i="8"/>
  <c r="L125" i="8"/>
  <c r="M125" i="8"/>
  <c r="P125" i="8"/>
  <c r="R125" i="8"/>
  <c r="F125" i="8" s="1"/>
  <c r="I125" i="8"/>
  <c r="N125" i="8"/>
  <c r="B122" i="8"/>
  <c r="C122" i="8"/>
  <c r="E124" i="8"/>
  <c r="I113" i="5" l="1"/>
  <c r="O112" i="5"/>
  <c r="D111" i="12"/>
  <c r="E111" i="6"/>
  <c r="W124" i="8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I114" i="5" l="1"/>
  <c r="O113" i="5"/>
  <c r="E112" i="6"/>
  <c r="D112" i="12"/>
  <c r="B125" i="8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I115" i="5" l="1"/>
  <c r="O114" i="5"/>
  <c r="D113" i="12"/>
  <c r="E113" i="6"/>
  <c r="F129" i="8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I116" i="5" l="1"/>
  <c r="O115" i="5"/>
  <c r="E114" i="6"/>
  <c r="D114" i="12"/>
  <c r="L131" i="8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I117" i="5" l="1"/>
  <c r="O116" i="5"/>
  <c r="E115" i="6"/>
  <c r="D115" i="12"/>
  <c r="Y130" i="8"/>
  <c r="Y128" i="8" s="1"/>
  <c r="T130" i="8"/>
  <c r="T128" i="8" s="1"/>
  <c r="D130" i="8"/>
  <c r="D128" i="8" s="1"/>
  <c r="F132" i="8"/>
  <c r="U130" i="8"/>
  <c r="U128" i="8" s="1"/>
  <c r="Z130" i="8"/>
  <c r="Z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I118" i="5" l="1"/>
  <c r="O117" i="5"/>
  <c r="D116" i="12"/>
  <c r="E116" i="6"/>
  <c r="B131" i="8"/>
  <c r="C131" i="8"/>
  <c r="E133" i="8"/>
  <c r="I134" i="8"/>
  <c r="L134" i="8"/>
  <c r="O134" i="8"/>
  <c r="P134" i="8"/>
  <c r="M134" i="8"/>
  <c r="H134" i="8"/>
  <c r="R134" i="8"/>
  <c r="F134" i="8" s="1"/>
  <c r="N134" i="8"/>
  <c r="I119" i="5" l="1"/>
  <c r="O118" i="5"/>
  <c r="E117" i="6"/>
  <c r="D117" i="12"/>
  <c r="F135" i="8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I120" i="5" l="1"/>
  <c r="I121" i="5" s="1"/>
  <c r="I122" i="5" s="1"/>
  <c r="O119" i="5"/>
  <c r="E118" i="6"/>
  <c r="D118" i="12"/>
  <c r="C134" i="8"/>
  <c r="E136" i="8"/>
  <c r="B134" i="8"/>
  <c r="N137" i="8"/>
  <c r="L137" i="8"/>
  <c r="I137" i="8"/>
  <c r="M137" i="8"/>
  <c r="H137" i="8"/>
  <c r="P137" i="8"/>
  <c r="O137" i="8"/>
  <c r="R137" i="8"/>
  <c r="F138" i="8" s="1"/>
  <c r="O121" i="5" l="1"/>
  <c r="D121" i="12" s="1"/>
  <c r="D119" i="12"/>
  <c r="E119" i="6"/>
  <c r="I123" i="5"/>
  <c r="O122" i="5"/>
  <c r="G137" i="8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21" i="6" l="1"/>
  <c r="I124" i="5"/>
  <c r="O123" i="5"/>
  <c r="E122" i="6"/>
  <c r="D122" i="12"/>
  <c r="E139" i="8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I125" i="5" l="1"/>
  <c r="I126" i="5" s="1"/>
  <c r="I127" i="5" s="1"/>
  <c r="I128" i="5" s="1"/>
  <c r="O124" i="5"/>
  <c r="D123" i="12"/>
  <c r="E123" i="6"/>
  <c r="F141" i="8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I129" i="5" l="1"/>
  <c r="O128" i="5"/>
  <c r="E124" i="6"/>
  <c r="D124" i="12"/>
  <c r="B140" i="8"/>
  <c r="E142" i="8"/>
  <c r="C140" i="8"/>
  <c r="H143" i="8"/>
  <c r="N143" i="8"/>
  <c r="L143" i="8"/>
  <c r="P143" i="8"/>
  <c r="O143" i="8"/>
  <c r="R143" i="8"/>
  <c r="I143" i="8"/>
  <c r="M143" i="8"/>
  <c r="I130" i="5" l="1"/>
  <c r="O129" i="5"/>
  <c r="D128" i="12"/>
  <c r="E128" i="6"/>
  <c r="G144" i="8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I131" i="5" l="1"/>
  <c r="O130" i="5"/>
  <c r="D129" i="12"/>
  <c r="E129" i="6"/>
  <c r="L146" i="8"/>
  <c r="N146" i="8"/>
  <c r="H146" i="8"/>
  <c r="P146" i="8"/>
  <c r="M146" i="8"/>
  <c r="O146" i="8"/>
  <c r="I146" i="8"/>
  <c r="R146" i="8"/>
  <c r="F147" i="8" s="1"/>
  <c r="E145" i="8"/>
  <c r="B143" i="8"/>
  <c r="C143" i="8"/>
  <c r="N35" i="8"/>
  <c r="Q35" i="8" s="1"/>
  <c r="I132" i="5" l="1"/>
  <c r="O131" i="5"/>
  <c r="D130" i="12"/>
  <c r="E130" i="6"/>
  <c r="G36" i="8"/>
  <c r="G35" i="8"/>
  <c r="I36" i="8" s="1"/>
  <c r="AD145" i="8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35" i="8"/>
  <c r="E37" i="8"/>
  <c r="C35" i="8"/>
  <c r="I133" i="5" l="1"/>
  <c r="O132" i="5"/>
  <c r="D131" i="12"/>
  <c r="E131" i="6"/>
  <c r="B146" i="8"/>
  <c r="C146" i="8"/>
  <c r="E148" i="8"/>
  <c r="I149" i="8"/>
  <c r="N149" i="8"/>
  <c r="H149" i="8"/>
  <c r="P149" i="8"/>
  <c r="R149" i="8"/>
  <c r="F150" i="8" s="1"/>
  <c r="M149" i="8"/>
  <c r="L149" i="8"/>
  <c r="O149" i="8"/>
  <c r="I134" i="5" l="1"/>
  <c r="O133" i="5"/>
  <c r="E132" i="6"/>
  <c r="D132" i="12"/>
  <c r="Q149" i="8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I135" i="5" l="1"/>
  <c r="O134" i="5"/>
  <c r="D133" i="12"/>
  <c r="E133" i="6"/>
  <c r="L152" i="8"/>
  <c r="I152" i="8"/>
  <c r="H152" i="8"/>
  <c r="O152" i="8"/>
  <c r="P152" i="8"/>
  <c r="R152" i="8"/>
  <c r="F152" i="8" s="1"/>
  <c r="N152" i="8"/>
  <c r="M152" i="8"/>
  <c r="C149" i="8"/>
  <c r="E151" i="8"/>
  <c r="B149" i="8"/>
  <c r="I136" i="5" l="1"/>
  <c r="O135" i="5"/>
  <c r="D134" i="12"/>
  <c r="E134" i="6"/>
  <c r="D151" i="8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I137" i="5" l="1"/>
  <c r="O136" i="5"/>
  <c r="E135" i="6"/>
  <c r="D135" i="12"/>
  <c r="H155" i="8"/>
  <c r="L155" i="8"/>
  <c r="O155" i="8"/>
  <c r="I155" i="8"/>
  <c r="P155" i="8"/>
  <c r="R155" i="8"/>
  <c r="F156" i="8" s="1"/>
  <c r="N155" i="8"/>
  <c r="M155" i="8"/>
  <c r="C152" i="8"/>
  <c r="B152" i="8"/>
  <c r="E154" i="8"/>
  <c r="I138" i="5" l="1"/>
  <c r="O137" i="5"/>
  <c r="D136" i="12"/>
  <c r="E136" i="6"/>
  <c r="Y154" i="8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I139" i="5" l="1"/>
  <c r="O138" i="5"/>
  <c r="E137" i="6"/>
  <c r="D137" i="12"/>
  <c r="L158" i="8"/>
  <c r="O158" i="8"/>
  <c r="I158" i="8"/>
  <c r="N158" i="8"/>
  <c r="P158" i="8"/>
  <c r="R158" i="8"/>
  <c r="F158" i="8" s="1"/>
  <c r="M158" i="8"/>
  <c r="H158" i="8"/>
  <c r="C155" i="8"/>
  <c r="E157" i="8"/>
  <c r="B155" i="8"/>
  <c r="I140" i="5" l="1"/>
  <c r="O139" i="5"/>
  <c r="E138" i="6"/>
  <c r="D138" i="12"/>
  <c r="Y157" i="8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I141" i="5" l="1"/>
  <c r="O140" i="5"/>
  <c r="E139" i="6"/>
  <c r="D139" i="12"/>
  <c r="E160" i="8"/>
  <c r="C158" i="8"/>
  <c r="B158" i="8"/>
  <c r="L161" i="8"/>
  <c r="N92" i="8" s="1"/>
  <c r="Q92" i="8" s="1"/>
  <c r="P161" i="8"/>
  <c r="I161" i="8"/>
  <c r="M161" i="8"/>
  <c r="H161" i="8"/>
  <c r="R161" i="8"/>
  <c r="AB160" i="8" s="1"/>
  <c r="AB158" i="8" s="1"/>
  <c r="N161" i="8"/>
  <c r="O161" i="8"/>
  <c r="G93" i="8" l="1"/>
  <c r="B92" i="8"/>
  <c r="V94" i="8"/>
  <c r="V92" i="8" s="1"/>
  <c r="AD94" i="8"/>
  <c r="AD92" i="8" s="1"/>
  <c r="D94" i="8"/>
  <c r="D92" i="8" s="1"/>
  <c r="E94" i="8"/>
  <c r="AC94" i="8"/>
  <c r="AC92" i="8" s="1"/>
  <c r="Y94" i="8"/>
  <c r="Y92" i="8" s="1"/>
  <c r="U94" i="8"/>
  <c r="U92" i="8" s="1"/>
  <c r="T94" i="8"/>
  <c r="T92" i="8" s="1"/>
  <c r="AB94" i="8"/>
  <c r="AB92" i="8" s="1"/>
  <c r="W94" i="8"/>
  <c r="W92" i="8" s="1"/>
  <c r="AA94" i="8"/>
  <c r="AA92" i="8" s="1"/>
  <c r="X94" i="8"/>
  <c r="X92" i="8" s="1"/>
  <c r="AE94" i="8"/>
  <c r="AE92" i="8" s="1"/>
  <c r="Z94" i="8"/>
  <c r="Z92" i="8" s="1"/>
  <c r="C92" i="8"/>
  <c r="N83" i="8"/>
  <c r="Q83" i="8" s="1"/>
  <c r="C83" i="8" s="1"/>
  <c r="N89" i="8"/>
  <c r="Q89" i="8" s="1"/>
  <c r="N77" i="8"/>
  <c r="Q77" i="8" s="1"/>
  <c r="G78" i="8" s="1"/>
  <c r="N80" i="8"/>
  <c r="Q80" i="8" s="1"/>
  <c r="N71" i="8"/>
  <c r="Q71" i="8" s="1"/>
  <c r="G72" i="8" s="1"/>
  <c r="N74" i="8"/>
  <c r="Q74" i="8" s="1"/>
  <c r="N65" i="8"/>
  <c r="Q65" i="8" s="1"/>
  <c r="E67" i="8" s="1"/>
  <c r="N68" i="8"/>
  <c r="Q68" i="8" s="1"/>
  <c r="N59" i="8"/>
  <c r="Q59" i="8" s="1"/>
  <c r="E61" i="8" s="1"/>
  <c r="N62" i="8"/>
  <c r="Q62" i="8" s="1"/>
  <c r="N53" i="8"/>
  <c r="Q53" i="8" s="1"/>
  <c r="N56" i="8"/>
  <c r="Q56" i="8" s="1"/>
  <c r="I142" i="5"/>
  <c r="I143" i="5" s="1"/>
  <c r="I144" i="5" s="1"/>
  <c r="O141" i="5"/>
  <c r="D140" i="12"/>
  <c r="E140" i="6"/>
  <c r="N47" i="8"/>
  <c r="Q47" i="8" s="1"/>
  <c r="G48" i="8" s="1"/>
  <c r="N50" i="8"/>
  <c r="Q50" i="8" s="1"/>
  <c r="N41" i="8"/>
  <c r="Q41" i="8" s="1"/>
  <c r="G42" i="8" s="1"/>
  <c r="N44" i="8"/>
  <c r="Q44" i="8" s="1"/>
  <c r="N32" i="8"/>
  <c r="Q32" i="8" s="1"/>
  <c r="G33" i="8" s="1"/>
  <c r="N38" i="8"/>
  <c r="Q38" i="8" s="1"/>
  <c r="N26" i="8"/>
  <c r="Q26" i="8" s="1"/>
  <c r="AC28" i="8" s="1"/>
  <c r="AC26" i="8" s="1"/>
  <c r="N29" i="8"/>
  <c r="Q29" i="8" s="1"/>
  <c r="N20" i="8"/>
  <c r="Q20" i="8" s="1"/>
  <c r="G21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92" i="8" l="1"/>
  <c r="I93" i="8" s="1"/>
  <c r="G90" i="8"/>
  <c r="T85" i="8"/>
  <c r="T83" i="8" s="1"/>
  <c r="D85" i="8"/>
  <c r="D83" i="8" s="1"/>
  <c r="AC85" i="8"/>
  <c r="AC83" i="8" s="1"/>
  <c r="AB85" i="8"/>
  <c r="AB83" i="8" s="1"/>
  <c r="U85" i="8"/>
  <c r="U83" i="8" s="1"/>
  <c r="Y85" i="8"/>
  <c r="Y83" i="8" s="1"/>
  <c r="B83" i="8"/>
  <c r="AE85" i="8"/>
  <c r="AE83" i="8" s="1"/>
  <c r="X85" i="8"/>
  <c r="X83" i="8" s="1"/>
  <c r="W85" i="8"/>
  <c r="W83" i="8" s="1"/>
  <c r="Z85" i="8"/>
  <c r="Z83" i="8" s="1"/>
  <c r="E85" i="8"/>
  <c r="G84" i="8"/>
  <c r="AA85" i="8"/>
  <c r="AA83" i="8" s="1"/>
  <c r="AD85" i="8"/>
  <c r="AD83" i="8" s="1"/>
  <c r="V85" i="8"/>
  <c r="V83" i="8" s="1"/>
  <c r="C89" i="8"/>
  <c r="B89" i="8"/>
  <c r="AB91" i="8"/>
  <c r="D91" i="8"/>
  <c r="X91" i="8"/>
  <c r="T91" i="8"/>
  <c r="AA91" i="8"/>
  <c r="AD91" i="8"/>
  <c r="AE91" i="8"/>
  <c r="U91" i="8"/>
  <c r="V91" i="8"/>
  <c r="Y91" i="8"/>
  <c r="E91" i="8"/>
  <c r="AC91" i="8"/>
  <c r="Z91" i="8"/>
  <c r="W91" i="8"/>
  <c r="G81" i="8"/>
  <c r="AC79" i="8"/>
  <c r="AC77" i="8" s="1"/>
  <c r="AB79" i="8"/>
  <c r="AB77" i="8" s="1"/>
  <c r="W79" i="8"/>
  <c r="W77" i="8" s="1"/>
  <c r="T79" i="8"/>
  <c r="T77" i="8" s="1"/>
  <c r="X79" i="8"/>
  <c r="X77" i="8" s="1"/>
  <c r="Y79" i="8"/>
  <c r="Y77" i="8" s="1"/>
  <c r="Z79" i="8"/>
  <c r="Z77" i="8" s="1"/>
  <c r="AD79" i="8"/>
  <c r="AD77" i="8" s="1"/>
  <c r="AA79" i="8"/>
  <c r="AA77" i="8" s="1"/>
  <c r="AE79" i="8"/>
  <c r="AE77" i="8" s="1"/>
  <c r="D79" i="8"/>
  <c r="D77" i="8" s="1"/>
  <c r="E79" i="8"/>
  <c r="C77" i="8"/>
  <c r="U79" i="8"/>
  <c r="U77" i="8" s="1"/>
  <c r="V79" i="8"/>
  <c r="V77" i="8" s="1"/>
  <c r="B77" i="8"/>
  <c r="C80" i="8"/>
  <c r="X82" i="8"/>
  <c r="X80" i="8" s="1"/>
  <c r="U82" i="8"/>
  <c r="U80" i="8" s="1"/>
  <c r="AD82" i="8"/>
  <c r="AD80" i="8" s="1"/>
  <c r="Y82" i="8"/>
  <c r="Y80" i="8" s="1"/>
  <c r="AB82" i="8"/>
  <c r="AB80" i="8" s="1"/>
  <c r="AE82" i="8"/>
  <c r="AE80" i="8" s="1"/>
  <c r="AA82" i="8"/>
  <c r="AA80" i="8" s="1"/>
  <c r="W82" i="8"/>
  <c r="W80" i="8" s="1"/>
  <c r="T82" i="8"/>
  <c r="T80" i="8" s="1"/>
  <c r="AC82" i="8"/>
  <c r="AC80" i="8" s="1"/>
  <c r="B80" i="8"/>
  <c r="D82" i="8"/>
  <c r="D80" i="8" s="1"/>
  <c r="V82" i="8"/>
  <c r="V80" i="8" s="1"/>
  <c r="Z82" i="8"/>
  <c r="Z80" i="8" s="1"/>
  <c r="E82" i="8"/>
  <c r="G75" i="8"/>
  <c r="AB73" i="8"/>
  <c r="AB71" i="8" s="1"/>
  <c r="X73" i="8"/>
  <c r="X71" i="8" s="1"/>
  <c r="V73" i="8"/>
  <c r="V71" i="8" s="1"/>
  <c r="W73" i="8"/>
  <c r="W71" i="8" s="1"/>
  <c r="AA73" i="8"/>
  <c r="AA71" i="8" s="1"/>
  <c r="Z73" i="8"/>
  <c r="Z71" i="8" s="1"/>
  <c r="E73" i="8"/>
  <c r="B71" i="8"/>
  <c r="U73" i="8"/>
  <c r="U71" i="8" s="1"/>
  <c r="AE73" i="8"/>
  <c r="AE71" i="8" s="1"/>
  <c r="D73" i="8"/>
  <c r="D71" i="8" s="1"/>
  <c r="C71" i="8"/>
  <c r="T73" i="8"/>
  <c r="T71" i="8" s="1"/>
  <c r="AD73" i="8"/>
  <c r="AD71" i="8" s="1"/>
  <c r="AC73" i="8"/>
  <c r="AC71" i="8" s="1"/>
  <c r="Y73" i="8"/>
  <c r="Y71" i="8" s="1"/>
  <c r="B74" i="8"/>
  <c r="X76" i="8"/>
  <c r="X74" i="8" s="1"/>
  <c r="T76" i="8"/>
  <c r="T74" i="8" s="1"/>
  <c r="AE76" i="8"/>
  <c r="AE74" i="8" s="1"/>
  <c r="W76" i="8"/>
  <c r="W74" i="8" s="1"/>
  <c r="D76" i="8"/>
  <c r="D74" i="8" s="1"/>
  <c r="Z76" i="8"/>
  <c r="Z74" i="8" s="1"/>
  <c r="AC76" i="8"/>
  <c r="AC74" i="8" s="1"/>
  <c r="AA76" i="8"/>
  <c r="AA74" i="8" s="1"/>
  <c r="AD76" i="8"/>
  <c r="AD74" i="8" s="1"/>
  <c r="U76" i="8"/>
  <c r="U74" i="8" s="1"/>
  <c r="Y76" i="8"/>
  <c r="Y74" i="8" s="1"/>
  <c r="AB76" i="8"/>
  <c r="AB74" i="8" s="1"/>
  <c r="C74" i="8"/>
  <c r="E76" i="8"/>
  <c r="V76" i="8"/>
  <c r="V74" i="8" s="1"/>
  <c r="G69" i="8"/>
  <c r="C65" i="8"/>
  <c r="AB67" i="8"/>
  <c r="AB65" i="8" s="1"/>
  <c r="W67" i="8"/>
  <c r="W65" i="8" s="1"/>
  <c r="AA67" i="8"/>
  <c r="AA65" i="8" s="1"/>
  <c r="E70" i="8"/>
  <c r="AC70" i="8"/>
  <c r="AC68" i="8" s="1"/>
  <c r="V70" i="8"/>
  <c r="V68" i="8" s="1"/>
  <c r="W70" i="8"/>
  <c r="W68" i="8" s="1"/>
  <c r="D70" i="8"/>
  <c r="D68" i="8" s="1"/>
  <c r="AE70" i="8"/>
  <c r="AE68" i="8" s="1"/>
  <c r="Y70" i="8"/>
  <c r="Y68" i="8" s="1"/>
  <c r="AD70" i="8"/>
  <c r="AD68" i="8" s="1"/>
  <c r="AB70" i="8"/>
  <c r="AB68" i="8" s="1"/>
  <c r="T70" i="8"/>
  <c r="T68" i="8" s="1"/>
  <c r="B68" i="8"/>
  <c r="X70" i="8"/>
  <c r="X68" i="8" s="1"/>
  <c r="U70" i="8"/>
  <c r="U68" i="8" s="1"/>
  <c r="AA70" i="8"/>
  <c r="AA68" i="8" s="1"/>
  <c r="C68" i="8"/>
  <c r="Z70" i="8"/>
  <c r="Z68" i="8" s="1"/>
  <c r="V67" i="8"/>
  <c r="V65" i="8" s="1"/>
  <c r="AD67" i="8"/>
  <c r="AD65" i="8" s="1"/>
  <c r="AE67" i="8"/>
  <c r="AE65" i="8" s="1"/>
  <c r="U67" i="8"/>
  <c r="U65" i="8" s="1"/>
  <c r="Y67" i="8"/>
  <c r="Y65" i="8" s="1"/>
  <c r="AC67" i="8"/>
  <c r="AC65" i="8" s="1"/>
  <c r="D67" i="8"/>
  <c r="D65" i="8" s="1"/>
  <c r="X67" i="8"/>
  <c r="X65" i="8" s="1"/>
  <c r="G66" i="8"/>
  <c r="T67" i="8"/>
  <c r="T65" i="8" s="1"/>
  <c r="Z67" i="8"/>
  <c r="Z65" i="8" s="1"/>
  <c r="B65" i="8"/>
  <c r="G63" i="8"/>
  <c r="AE61" i="8"/>
  <c r="AE59" i="8" s="1"/>
  <c r="D61" i="8"/>
  <c r="D59" i="8" s="1"/>
  <c r="U61" i="8"/>
  <c r="U59" i="8" s="1"/>
  <c r="AB61" i="8"/>
  <c r="AB59" i="8" s="1"/>
  <c r="Z61" i="8"/>
  <c r="Z59" i="8" s="1"/>
  <c r="T61" i="8"/>
  <c r="T59" i="8" s="1"/>
  <c r="G60" i="8"/>
  <c r="Y61" i="8"/>
  <c r="Y59" i="8" s="1"/>
  <c r="B59" i="8"/>
  <c r="AA61" i="8"/>
  <c r="AA59" i="8" s="1"/>
  <c r="W61" i="8"/>
  <c r="W59" i="8" s="1"/>
  <c r="V61" i="8"/>
  <c r="V59" i="8" s="1"/>
  <c r="X61" i="8"/>
  <c r="X59" i="8" s="1"/>
  <c r="E64" i="8"/>
  <c r="AA64" i="8"/>
  <c r="AA62" i="8" s="1"/>
  <c r="Y64" i="8"/>
  <c r="Y62" i="8" s="1"/>
  <c r="AB64" i="8"/>
  <c r="AB62" i="8" s="1"/>
  <c r="U64" i="8"/>
  <c r="U62" i="8" s="1"/>
  <c r="D64" i="8"/>
  <c r="D62" i="8" s="1"/>
  <c r="W64" i="8"/>
  <c r="W62" i="8" s="1"/>
  <c r="X64" i="8"/>
  <c r="X62" i="8" s="1"/>
  <c r="V64" i="8"/>
  <c r="V62" i="8" s="1"/>
  <c r="T64" i="8"/>
  <c r="T62" i="8" s="1"/>
  <c r="B62" i="8"/>
  <c r="C62" i="8"/>
  <c r="Z64" i="8"/>
  <c r="Z62" i="8" s="1"/>
  <c r="AE64" i="8"/>
  <c r="AE62" i="8" s="1"/>
  <c r="AC64" i="8"/>
  <c r="AC62" i="8" s="1"/>
  <c r="AD64" i="8"/>
  <c r="AD62" i="8" s="1"/>
  <c r="AD61" i="8"/>
  <c r="AD59" i="8" s="1"/>
  <c r="AC61" i="8"/>
  <c r="AC59" i="8" s="1"/>
  <c r="C59" i="8"/>
  <c r="G56" i="8"/>
  <c r="I57" i="8" s="1"/>
  <c r="G57" i="8"/>
  <c r="I145" i="5"/>
  <c r="O144" i="5"/>
  <c r="B53" i="8"/>
  <c r="G54" i="8"/>
  <c r="E55" i="8"/>
  <c r="C53" i="8"/>
  <c r="C56" i="8"/>
  <c r="E58" i="8"/>
  <c r="B56" i="8"/>
  <c r="D141" i="12"/>
  <c r="E141" i="6"/>
  <c r="G51" i="8"/>
  <c r="AB49" i="8"/>
  <c r="AB47" i="8" s="1"/>
  <c r="AD49" i="8"/>
  <c r="AD47" i="8" s="1"/>
  <c r="Y49" i="8"/>
  <c r="Y47" i="8" s="1"/>
  <c r="X49" i="8"/>
  <c r="X47" i="8" s="1"/>
  <c r="W49" i="8"/>
  <c r="W47" i="8" s="1"/>
  <c r="T49" i="8"/>
  <c r="T47" i="8" s="1"/>
  <c r="AA49" i="8"/>
  <c r="AA47" i="8" s="1"/>
  <c r="E49" i="8"/>
  <c r="AC49" i="8"/>
  <c r="AC47" i="8" s="1"/>
  <c r="AE49" i="8"/>
  <c r="AE47" i="8" s="1"/>
  <c r="D49" i="8"/>
  <c r="D47" i="8" s="1"/>
  <c r="B47" i="8"/>
  <c r="C47" i="8"/>
  <c r="U49" i="8"/>
  <c r="U47" i="8" s="1"/>
  <c r="Z49" i="8"/>
  <c r="Z47" i="8" s="1"/>
  <c r="V49" i="8"/>
  <c r="V47" i="8" s="1"/>
  <c r="C50" i="8"/>
  <c r="AC52" i="8"/>
  <c r="AC50" i="8" s="1"/>
  <c r="X52" i="8"/>
  <c r="X50" i="8" s="1"/>
  <c r="V52" i="8"/>
  <c r="V50" i="8" s="1"/>
  <c r="B50" i="8"/>
  <c r="W52" i="8"/>
  <c r="W50" i="8" s="1"/>
  <c r="AA52" i="8"/>
  <c r="AA50" i="8" s="1"/>
  <c r="Z52" i="8"/>
  <c r="Z50" i="8" s="1"/>
  <c r="AE52" i="8"/>
  <c r="AE50" i="8" s="1"/>
  <c r="T52" i="8"/>
  <c r="T50" i="8" s="1"/>
  <c r="D52" i="8"/>
  <c r="D50" i="8" s="1"/>
  <c r="AD52" i="8"/>
  <c r="AD50" i="8" s="1"/>
  <c r="E52" i="8"/>
  <c r="Y52" i="8"/>
  <c r="Y50" i="8" s="1"/>
  <c r="U52" i="8"/>
  <c r="U50" i="8" s="1"/>
  <c r="AB52" i="8"/>
  <c r="AB50" i="8" s="1"/>
  <c r="G45" i="8"/>
  <c r="B41" i="8"/>
  <c r="AE43" i="8"/>
  <c r="AE41" i="8" s="1"/>
  <c r="W43" i="8"/>
  <c r="W41" i="8" s="1"/>
  <c r="V43" i="8"/>
  <c r="V41" i="8" s="1"/>
  <c r="Z43" i="8"/>
  <c r="Z41" i="8" s="1"/>
  <c r="AB43" i="8"/>
  <c r="AB41" i="8" s="1"/>
  <c r="AC43" i="8"/>
  <c r="AC41" i="8" s="1"/>
  <c r="U43" i="8"/>
  <c r="U41" i="8" s="1"/>
  <c r="E43" i="8"/>
  <c r="D43" i="8"/>
  <c r="D41" i="8" s="1"/>
  <c r="Y43" i="8"/>
  <c r="Y41" i="8" s="1"/>
  <c r="AD43" i="8"/>
  <c r="AD41" i="8" s="1"/>
  <c r="AA43" i="8"/>
  <c r="AA41" i="8" s="1"/>
  <c r="X43" i="8"/>
  <c r="X41" i="8" s="1"/>
  <c r="C41" i="8"/>
  <c r="T43" i="8"/>
  <c r="T41" i="8" s="1"/>
  <c r="C44" i="8"/>
  <c r="W46" i="8"/>
  <c r="W44" i="8" s="1"/>
  <c r="U46" i="8"/>
  <c r="U44" i="8" s="1"/>
  <c r="X46" i="8"/>
  <c r="X44" i="8" s="1"/>
  <c r="AE46" i="8"/>
  <c r="AE44" i="8" s="1"/>
  <c r="V46" i="8"/>
  <c r="V44" i="8" s="1"/>
  <c r="AA46" i="8"/>
  <c r="AA44" i="8" s="1"/>
  <c r="AC46" i="8"/>
  <c r="AC44" i="8" s="1"/>
  <c r="AB44" i="8"/>
  <c r="Y46" i="8"/>
  <c r="Y44" i="8" s="1"/>
  <c r="B44" i="8"/>
  <c r="AB46" i="8"/>
  <c r="D46" i="8"/>
  <c r="D44" i="8" s="1"/>
  <c r="E46" i="8"/>
  <c r="AD46" i="8"/>
  <c r="AD44" i="8" s="1"/>
  <c r="Z46" i="8"/>
  <c r="Z44" i="8" s="1"/>
  <c r="T46" i="8"/>
  <c r="T44" i="8" s="1"/>
  <c r="G39" i="8"/>
  <c r="AE34" i="8"/>
  <c r="AE32" i="8" s="1"/>
  <c r="X34" i="8"/>
  <c r="X32" i="8" s="1"/>
  <c r="AB34" i="8"/>
  <c r="AB32" i="8" s="1"/>
  <c r="AC34" i="8"/>
  <c r="AC32" i="8" s="1"/>
  <c r="C32" i="8"/>
  <c r="D34" i="8"/>
  <c r="D32" i="8" s="1"/>
  <c r="T34" i="8"/>
  <c r="T32" i="8" s="1"/>
  <c r="AD34" i="8"/>
  <c r="AD32" i="8" s="1"/>
  <c r="Y34" i="8"/>
  <c r="Y32" i="8" s="1"/>
  <c r="B32" i="8"/>
  <c r="U34" i="8"/>
  <c r="U32" i="8" s="1"/>
  <c r="E34" i="8"/>
  <c r="AA34" i="8" s="1"/>
  <c r="AA32" i="8" s="1"/>
  <c r="W34" i="8"/>
  <c r="W32" i="8" s="1"/>
  <c r="Z34" i="8"/>
  <c r="Z32" i="8" s="1"/>
  <c r="V34" i="8"/>
  <c r="V32" i="8" s="1"/>
  <c r="C38" i="8"/>
  <c r="V40" i="8"/>
  <c r="U40" i="8"/>
  <c r="AD40" i="8"/>
  <c r="AC40" i="8"/>
  <c r="W40" i="8"/>
  <c r="D40" i="8"/>
  <c r="AA40" i="8"/>
  <c r="E40" i="8"/>
  <c r="T40" i="8"/>
  <c r="Z40" i="8"/>
  <c r="X40" i="8"/>
  <c r="AB40" i="8"/>
  <c r="Y40" i="8"/>
  <c r="AE40" i="8"/>
  <c r="B38" i="8"/>
  <c r="G30" i="8"/>
  <c r="C26" i="8"/>
  <c r="W28" i="8"/>
  <c r="W26" i="8" s="1"/>
  <c r="AB28" i="8"/>
  <c r="AB26" i="8" s="1"/>
  <c r="D28" i="8"/>
  <c r="D26" i="8" s="1"/>
  <c r="AD28" i="8"/>
  <c r="AD26" i="8" s="1"/>
  <c r="X28" i="8"/>
  <c r="X26" i="8" s="1"/>
  <c r="Z28" i="8"/>
  <c r="Z26" i="8" s="1"/>
  <c r="E28" i="8"/>
  <c r="AA28" i="8" s="1"/>
  <c r="AA26" i="8" s="1"/>
  <c r="B26" i="8"/>
  <c r="Y28" i="8"/>
  <c r="Y26" i="8" s="1"/>
  <c r="U28" i="8"/>
  <c r="U26" i="8" s="1"/>
  <c r="G27" i="8"/>
  <c r="T28" i="8"/>
  <c r="T26" i="8" s="1"/>
  <c r="V28" i="8"/>
  <c r="V26" i="8" s="1"/>
  <c r="AE28" i="8"/>
  <c r="AE26" i="8" s="1"/>
  <c r="W31" i="8"/>
  <c r="W29" i="8" s="1"/>
  <c r="AA31" i="8"/>
  <c r="AA29" i="8" s="1"/>
  <c r="V31" i="8"/>
  <c r="V29" i="8" s="1"/>
  <c r="AE31" i="8"/>
  <c r="AE29" i="8" s="1"/>
  <c r="C29" i="8"/>
  <c r="AB31" i="8"/>
  <c r="U31" i="8"/>
  <c r="U29" i="8" s="1"/>
  <c r="AD31" i="8"/>
  <c r="AD29" i="8" s="1"/>
  <c r="B29" i="8"/>
  <c r="Z31" i="8"/>
  <c r="Z29" i="8" s="1"/>
  <c r="Y31" i="8"/>
  <c r="Y29" i="8" s="1"/>
  <c r="E31" i="8"/>
  <c r="D31" i="8" s="1"/>
  <c r="D29" i="8" s="1"/>
  <c r="T31" i="8"/>
  <c r="X31" i="8"/>
  <c r="X29" i="8" s="1"/>
  <c r="AC31" i="8"/>
  <c r="AC29" i="8" s="1"/>
  <c r="AB29" i="8"/>
  <c r="T29" i="8"/>
  <c r="G24" i="8"/>
  <c r="V20" i="8"/>
  <c r="B20" i="8"/>
  <c r="W20" i="8"/>
  <c r="AA22" i="8"/>
  <c r="Z20" i="8"/>
  <c r="AB20" i="8"/>
  <c r="X20" i="8"/>
  <c r="X22" i="8"/>
  <c r="AD20" i="8"/>
  <c r="Y20" i="8"/>
  <c r="Z22" i="8"/>
  <c r="T20" i="8"/>
  <c r="AC20" i="8"/>
  <c r="AE20" i="8"/>
  <c r="AB22" i="8"/>
  <c r="E22" i="8"/>
  <c r="D22" i="8" s="1"/>
  <c r="T22" i="8"/>
  <c r="U20" i="8"/>
  <c r="D20" i="8"/>
  <c r="AA20" i="8"/>
  <c r="W22" i="8"/>
  <c r="V22" i="8"/>
  <c r="U22" i="8"/>
  <c r="AD22" i="8"/>
  <c r="AC22" i="8"/>
  <c r="AE22" i="8"/>
  <c r="C20" i="8"/>
  <c r="Y22" i="8"/>
  <c r="C23" i="8"/>
  <c r="Y25" i="8"/>
  <c r="U25" i="8"/>
  <c r="AA25" i="8"/>
  <c r="E25" i="8"/>
  <c r="AD25" i="8" s="1"/>
  <c r="W25" i="8"/>
  <c r="X25" i="8"/>
  <c r="D25" i="8"/>
  <c r="Z25" i="8"/>
  <c r="V25" i="8"/>
  <c r="AC25" i="8"/>
  <c r="B23" i="8"/>
  <c r="AB25" i="8"/>
  <c r="AE25" i="8"/>
  <c r="T25" i="8"/>
  <c r="AC23" i="8"/>
  <c r="V23" i="8"/>
  <c r="AE23" i="8"/>
  <c r="D23" i="8"/>
  <c r="Z23" i="8"/>
  <c r="T23" i="8"/>
  <c r="AB23" i="8"/>
  <c r="U23" i="8"/>
  <c r="W23" i="8"/>
  <c r="AA23" i="8"/>
  <c r="Y23" i="8"/>
  <c r="X23" i="8"/>
  <c r="AD23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83" i="8" l="1"/>
  <c r="I84" i="8" s="1"/>
  <c r="AE89" i="8"/>
  <c r="AE88" i="8"/>
  <c r="AE86" i="8" s="1"/>
  <c r="X89" i="8"/>
  <c r="X88" i="8"/>
  <c r="X86" i="8" s="1"/>
  <c r="W89" i="8"/>
  <c r="W88" i="8"/>
  <c r="W86" i="8" s="1"/>
  <c r="Y89" i="8"/>
  <c r="Y88" i="8"/>
  <c r="Y86" i="8" s="1"/>
  <c r="AD89" i="8"/>
  <c r="AD88" i="8"/>
  <c r="AD86" i="8" s="1"/>
  <c r="D89" i="8"/>
  <c r="D88" i="8"/>
  <c r="D86" i="8" s="1"/>
  <c r="Z89" i="8"/>
  <c r="Z88" i="8"/>
  <c r="Z86" i="8" s="1"/>
  <c r="V89" i="8"/>
  <c r="V88" i="8"/>
  <c r="V86" i="8" s="1"/>
  <c r="AA89" i="8"/>
  <c r="AA88" i="8"/>
  <c r="AA86" i="8" s="1"/>
  <c r="AB89" i="8"/>
  <c r="AB88" i="8"/>
  <c r="AB86" i="8" s="1"/>
  <c r="AC89" i="8"/>
  <c r="AC88" i="8"/>
  <c r="AC86" i="8" s="1"/>
  <c r="U89" i="8"/>
  <c r="U88" i="8"/>
  <c r="U86" i="8" s="1"/>
  <c r="T89" i="8"/>
  <c r="T88" i="8"/>
  <c r="T86" i="8" s="1"/>
  <c r="G77" i="8"/>
  <c r="I78" i="8" s="1"/>
  <c r="G80" i="8"/>
  <c r="I81" i="8" s="1"/>
  <c r="G74" i="8"/>
  <c r="I75" i="8" s="1"/>
  <c r="G71" i="8"/>
  <c r="I72" i="8" s="1"/>
  <c r="G68" i="8"/>
  <c r="I69" i="8" s="1"/>
  <c r="G65" i="8"/>
  <c r="I66" i="8" s="1"/>
  <c r="Y58" i="8"/>
  <c r="Y56" i="8" s="1"/>
  <c r="G62" i="8"/>
  <c r="I63" i="8" s="1"/>
  <c r="D58" i="8"/>
  <c r="D56" i="8" s="1"/>
  <c r="X58" i="8"/>
  <c r="X56" i="8" s="1"/>
  <c r="W58" i="8"/>
  <c r="W56" i="8" s="1"/>
  <c r="V58" i="8"/>
  <c r="V56" i="8" s="1"/>
  <c r="U58" i="8"/>
  <c r="U56" i="8" s="1"/>
  <c r="AD58" i="8"/>
  <c r="AD56" i="8" s="1"/>
  <c r="AB58" i="8"/>
  <c r="AB56" i="8" s="1"/>
  <c r="G59" i="8"/>
  <c r="I60" i="8" s="1"/>
  <c r="Z58" i="8"/>
  <c r="Z56" i="8" s="1"/>
  <c r="T58" i="8"/>
  <c r="T56" i="8" s="1"/>
  <c r="AE58" i="8"/>
  <c r="AE56" i="8" s="1"/>
  <c r="AC58" i="8"/>
  <c r="AC56" i="8" s="1"/>
  <c r="AA58" i="8"/>
  <c r="AA56" i="8" s="1"/>
  <c r="I146" i="5"/>
  <c r="O145" i="5"/>
  <c r="D144" i="12"/>
  <c r="E144" i="6"/>
  <c r="T55" i="8"/>
  <c r="T53" i="8" s="1"/>
  <c r="U55" i="8"/>
  <c r="U53" i="8" s="1"/>
  <c r="X55" i="8"/>
  <c r="X53" i="8" s="1"/>
  <c r="AA55" i="8"/>
  <c r="AA53" i="8" s="1"/>
  <c r="D55" i="8"/>
  <c r="D53" i="8" s="1"/>
  <c r="AD55" i="8"/>
  <c r="AD53" i="8" s="1"/>
  <c r="AE55" i="8"/>
  <c r="AE53" i="8" s="1"/>
  <c r="V55" i="8"/>
  <c r="V53" i="8" s="1"/>
  <c r="AC55" i="8"/>
  <c r="AC53" i="8" s="1"/>
  <c r="AB55" i="8"/>
  <c r="AB53" i="8" s="1"/>
  <c r="Z55" i="8"/>
  <c r="Z53" i="8" s="1"/>
  <c r="Y55" i="8"/>
  <c r="Y53" i="8" s="1"/>
  <c r="W55" i="8"/>
  <c r="W53" i="8" s="1"/>
  <c r="G47" i="8"/>
  <c r="I48" i="8" s="1"/>
  <c r="G50" i="8"/>
  <c r="I51" i="8" s="1"/>
  <c r="G41" i="8"/>
  <c r="I42" i="8" s="1"/>
  <c r="G44" i="8"/>
  <c r="I45" i="8" s="1"/>
  <c r="G32" i="8"/>
  <c r="I33" i="8" s="1"/>
  <c r="AB38" i="8"/>
  <c r="AC38" i="8"/>
  <c r="X38" i="8"/>
  <c r="AA38" i="8"/>
  <c r="AD38" i="8"/>
  <c r="AE38" i="8"/>
  <c r="Z38" i="8"/>
  <c r="D38" i="8"/>
  <c r="U38" i="8"/>
  <c r="Y38" i="8"/>
  <c r="T38" i="8"/>
  <c r="W38" i="8"/>
  <c r="V38" i="8"/>
  <c r="G29" i="8"/>
  <c r="I30" i="8" s="1"/>
  <c r="G26" i="8"/>
  <c r="I27" i="8" s="1"/>
  <c r="AD16" i="8"/>
  <c r="AD14" i="8" s="1"/>
  <c r="Y16" i="8"/>
  <c r="Y14" i="8" s="1"/>
  <c r="G20" i="8"/>
  <c r="I21" i="8" s="1"/>
  <c r="G23" i="8"/>
  <c r="I24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G89" i="8" l="1"/>
  <c r="I90" i="8" s="1"/>
  <c r="U37" i="8"/>
  <c r="U35" i="8" s="1"/>
  <c r="Z37" i="8"/>
  <c r="Z35" i="8" s="1"/>
  <c r="T37" i="8"/>
  <c r="T35" i="8" s="1"/>
  <c r="AB37" i="8"/>
  <c r="AB35" i="8" s="1"/>
  <c r="W37" i="8"/>
  <c r="W35" i="8" s="1"/>
  <c r="I147" i="5"/>
  <c r="I148" i="5" s="1"/>
  <c r="I149" i="5" s="1"/>
  <c r="I150" i="5" s="1"/>
  <c r="O146" i="5"/>
  <c r="AD37" i="8"/>
  <c r="AD35" i="8" s="1"/>
  <c r="V37" i="8"/>
  <c r="V35" i="8" s="1"/>
  <c r="X37" i="8"/>
  <c r="X35" i="8" s="1"/>
  <c r="D145" i="12"/>
  <c r="E145" i="6"/>
  <c r="Y37" i="8"/>
  <c r="Y35" i="8" s="1"/>
  <c r="D37" i="8"/>
  <c r="D35" i="8" s="1"/>
  <c r="AE37" i="8"/>
  <c r="AE35" i="8" s="1"/>
  <c r="AA37" i="8"/>
  <c r="AA35" i="8" s="1"/>
  <c r="AC37" i="8"/>
  <c r="AC35" i="8" s="1"/>
  <c r="G53" i="8"/>
  <c r="I54" i="8" s="1"/>
  <c r="G38" i="8"/>
  <c r="I39" i="8" s="1"/>
  <c r="T16" i="8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I151" i="5" l="1"/>
  <c r="O150" i="5"/>
  <c r="T173" i="8" a="1"/>
  <c r="T173" i="8" s="1"/>
  <c r="T168" i="8" s="1"/>
  <c r="E146" i="6"/>
  <c r="D146" i="12"/>
  <c r="T174" i="8"/>
  <c r="U174" i="8" s="1"/>
  <c r="T14" i="8"/>
  <c r="G17" i="8"/>
  <c r="I18" i="8" s="1"/>
  <c r="T172" i="8" a="1"/>
  <c r="T172" i="8" s="1"/>
  <c r="U172" i="8" s="1" a="1"/>
  <c r="U172" i="8" s="1"/>
  <c r="D174" i="8"/>
  <c r="D14" i="8"/>
  <c r="D173" i="8" a="1"/>
  <c r="D173" i="8" s="1"/>
  <c r="D168" i="8" s="1"/>
  <c r="D172" i="8" a="1"/>
  <c r="D172" i="8" s="1"/>
  <c r="D167" i="8" s="1"/>
  <c r="I152" i="5" l="1"/>
  <c r="O151" i="5"/>
  <c r="D150" i="12"/>
  <c r="E150" i="6"/>
  <c r="U173" i="8" a="1"/>
  <c r="U173" i="8" s="1"/>
  <c r="U168" i="8" s="1"/>
  <c r="T170" i="8"/>
  <c r="T169" i="8"/>
  <c r="T165" i="8" s="1"/>
  <c r="T171" i="8"/>
  <c r="T166" i="8" s="1"/>
  <c r="T167" i="8"/>
  <c r="D170" i="8"/>
  <c r="D171" i="8"/>
  <c r="D166" i="8" s="1"/>
  <c r="D169" i="8"/>
  <c r="D165" i="8" s="1"/>
  <c r="V174" i="8"/>
  <c r="U169" i="8"/>
  <c r="U165" i="8" s="1"/>
  <c r="U170" i="8"/>
  <c r="V172" i="8" a="1"/>
  <c r="V172" i="8" s="1"/>
  <c r="U167" i="8"/>
  <c r="I153" i="5" l="1"/>
  <c r="O152" i="5"/>
  <c r="D151" i="12"/>
  <c r="E151" i="6"/>
  <c r="U171" i="8"/>
  <c r="U166" i="8" s="1"/>
  <c r="V173" i="8" a="1"/>
  <c r="V173" i="8" s="1"/>
  <c r="W173" i="8" s="1" a="1"/>
  <c r="W173" i="8" s="1"/>
  <c r="W172" i="8" a="1"/>
  <c r="W172" i="8" s="1"/>
  <c r="V167" i="8"/>
  <c r="W174" i="8"/>
  <c r="V169" i="8"/>
  <c r="V165" i="8" s="1"/>
  <c r="V170" i="8"/>
  <c r="I154" i="5" l="1"/>
  <c r="O153" i="5"/>
  <c r="E152" i="6"/>
  <c r="D152" i="12"/>
  <c r="V171" i="8"/>
  <c r="V166" i="8" s="1"/>
  <c r="V168" i="8"/>
  <c r="X172" i="8" a="1"/>
  <c r="X172" i="8" s="1"/>
  <c r="W167" i="8"/>
  <c r="W169" i="8"/>
  <c r="W165" i="8" s="1"/>
  <c r="W170" i="8"/>
  <c r="X174" i="8"/>
  <c r="W171" i="8"/>
  <c r="W168" i="8"/>
  <c r="X173" i="8" a="1"/>
  <c r="X173" i="8" s="1"/>
  <c r="I155" i="5" l="1"/>
  <c r="O154" i="5"/>
  <c r="E153" i="6"/>
  <c r="D153" i="12"/>
  <c r="W166" i="8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I156" i="5" l="1"/>
  <c r="O155" i="5"/>
  <c r="D154" i="12"/>
  <c r="E154" i="6"/>
  <c r="Y168" i="8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I157" i="5" l="1"/>
  <c r="I158" i="5" s="1"/>
  <c r="I159" i="5" s="1"/>
  <c r="I160" i="5" s="1"/>
  <c r="O156" i="5"/>
  <c r="D155" i="12"/>
  <c r="E155" i="6"/>
  <c r="AA173" i="8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I161" i="5" l="1"/>
  <c r="I162" i="5" s="1"/>
  <c r="I163" i="5" s="1"/>
  <c r="I164" i="5" s="1"/>
  <c r="O160" i="5"/>
  <c r="E156" i="6"/>
  <c r="D156" i="12"/>
  <c r="AB172" i="8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I165" i="5" l="1"/>
  <c r="I166" i="5" s="1"/>
  <c r="I167" i="5" s="1"/>
  <c r="O164" i="5"/>
  <c r="D160" i="12"/>
  <c r="E160" i="6"/>
  <c r="AC173" i="8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I168" i="5" l="1"/>
  <c r="O167" i="5"/>
  <c r="E164" i="6"/>
  <c r="D164" i="12"/>
  <c r="AC170" i="8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I169" i="5" l="1"/>
  <c r="O168" i="5"/>
  <c r="E167" i="6"/>
  <c r="D167" i="12"/>
  <c r="AD167" i="8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I170" i="5" l="1"/>
  <c r="O169" i="5"/>
  <c r="E168" i="6"/>
  <c r="D168" i="12"/>
  <c r="AE167" i="8"/>
  <c r="AF172" i="8"/>
  <c r="AF174" i="8"/>
  <c r="AE171" i="8"/>
  <c r="AE170" i="8"/>
  <c r="AE169" i="8"/>
  <c r="AE165" i="8" s="1"/>
  <c r="B9" i="9"/>
  <c r="J10" i="8"/>
  <c r="I171" i="5" l="1"/>
  <c r="I172" i="5" s="1"/>
  <c r="I173" i="5" s="1"/>
  <c r="I174" i="5" s="1"/>
  <c r="I175" i="5" s="1"/>
  <c r="I176" i="5" s="1"/>
  <c r="O170" i="5"/>
  <c r="D169" i="12"/>
  <c r="E169" i="6"/>
  <c r="AE166" i="8"/>
  <c r="AF171" i="8"/>
  <c r="AF173" i="8" s="1"/>
  <c r="I177" i="5" l="1"/>
  <c r="O176" i="5"/>
  <c r="E170" i="6"/>
  <c r="D170" i="12"/>
  <c r="I23" i="8"/>
  <c r="I20" i="8"/>
  <c r="I178" i="5" l="1"/>
  <c r="O177" i="5"/>
  <c r="D176" i="12"/>
  <c r="E176" i="6"/>
  <c r="G21" i="6"/>
  <c r="F21" i="6"/>
  <c r="E21" i="12"/>
  <c r="F36" i="6"/>
  <c r="E36" i="12"/>
  <c r="G36" i="6"/>
  <c r="I179" i="5" l="1"/>
  <c r="O178" i="5"/>
  <c r="E177" i="6"/>
  <c r="D177" i="12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4" i="6"/>
  <c r="N193" i="6"/>
  <c r="N195" i="6"/>
  <c r="N196" i="6"/>
  <c r="N197" i="6"/>
  <c r="C32" i="10" l="1"/>
  <c r="C32" i="9"/>
  <c r="I180" i="5"/>
  <c r="O179" i="5"/>
  <c r="E178" i="6"/>
  <c r="D178" i="12"/>
  <c r="C31" i="10"/>
  <c r="C31" i="9"/>
  <c r="C30" i="10"/>
  <c r="C30" i="9"/>
  <c r="C29" i="9"/>
  <c r="C29" i="10"/>
  <c r="C28" i="10"/>
  <c r="C28" i="9"/>
  <c r="C27" i="9"/>
  <c r="C27" i="10"/>
  <c r="C26" i="9"/>
  <c r="C26" i="10"/>
  <c r="C25" i="10"/>
  <c r="C25" i="9"/>
  <c r="C24" i="9"/>
  <c r="C24" i="10"/>
  <c r="C23" i="9"/>
  <c r="C23" i="10"/>
  <c r="C22" i="9"/>
  <c r="C22" i="10"/>
  <c r="C21" i="10"/>
  <c r="C21" i="9"/>
  <c r="C20" i="10"/>
  <c r="C20" i="9"/>
  <c r="C19" i="9"/>
  <c r="C19" i="10"/>
  <c r="C18" i="9"/>
  <c r="C18" i="10"/>
  <c r="C17" i="10"/>
  <c r="C17" i="9"/>
  <c r="I181" i="5" l="1"/>
  <c r="I182" i="5" s="1"/>
  <c r="I183" i="5" s="1"/>
  <c r="I184" i="5" s="1"/>
  <c r="I185" i="5" s="1"/>
  <c r="O180" i="5"/>
  <c r="D179" i="12"/>
  <c r="E179" i="6"/>
  <c r="AF223" i="5"/>
  <c r="AF158" i="5"/>
  <c r="AF159" i="5"/>
  <c r="AF171" i="5"/>
  <c r="AF174" i="5"/>
  <c r="AF211" i="5"/>
  <c r="AF47" i="5"/>
  <c r="AF157" i="5"/>
  <c r="AF163" i="5"/>
  <c r="AF161" i="5"/>
  <c r="AF90" i="5"/>
  <c r="AF92" i="5"/>
  <c r="AF71" i="5"/>
  <c r="AF126" i="5"/>
  <c r="AF265" i="5"/>
  <c r="AF260" i="5"/>
  <c r="AF184" i="5"/>
  <c r="AF162" i="5"/>
  <c r="AF183" i="5"/>
  <c r="AF197" i="5"/>
  <c r="AF89" i="5"/>
  <c r="AF259" i="5"/>
  <c r="AF166" i="5"/>
  <c r="AF48" i="5"/>
  <c r="AF53" i="5"/>
  <c r="AF246" i="5"/>
  <c r="AF220" i="5"/>
  <c r="AF149" i="5"/>
  <c r="AF101" i="5"/>
  <c r="AF143" i="5"/>
  <c r="AF219" i="5"/>
  <c r="AF127" i="5"/>
  <c r="AF216" i="5"/>
  <c r="AF147" i="5"/>
  <c r="AF100" i="5"/>
  <c r="AF173" i="5"/>
  <c r="AF70" i="5"/>
  <c r="AF247" i="5"/>
  <c r="AF172" i="5"/>
  <c r="AF258" i="5"/>
  <c r="AF262" i="5"/>
  <c r="AF56" i="5"/>
  <c r="AF148" i="5"/>
  <c r="AF261" i="5"/>
  <c r="AF181" i="5"/>
  <c r="AF91" i="5"/>
  <c r="AF108" i="5"/>
  <c r="AF222" i="5"/>
  <c r="AF264" i="5"/>
  <c r="AF54" i="5"/>
  <c r="AF175" i="5"/>
  <c r="AF142" i="5"/>
  <c r="AF55" i="5"/>
  <c r="AF212" i="5"/>
  <c r="AF182" i="5"/>
  <c r="AF165" i="5"/>
  <c r="AF125" i="5"/>
  <c r="AF257" i="5"/>
  <c r="AF263" i="5"/>
  <c r="AF196" i="5"/>
  <c r="AF120" i="5"/>
  <c r="I186" i="5" l="1"/>
  <c r="O185" i="5"/>
  <c r="S265" i="5"/>
  <c r="AG265" i="5"/>
  <c r="R265" i="5"/>
  <c r="AG257" i="5"/>
  <c r="S257" i="5"/>
  <c r="R257" i="5"/>
  <c r="S173" i="5"/>
  <c r="AG173" i="5"/>
  <c r="R173" i="5"/>
  <c r="AG165" i="5"/>
  <c r="S165" i="5"/>
  <c r="R165" i="5"/>
  <c r="R161" i="5"/>
  <c r="AG161" i="5"/>
  <c r="S161" i="5"/>
  <c r="R89" i="5"/>
  <c r="S89" i="5"/>
  <c r="AG89" i="5"/>
  <c r="S262" i="5"/>
  <c r="R262" i="5"/>
  <c r="AG262" i="5"/>
  <c r="R258" i="5"/>
  <c r="AG258" i="5"/>
  <c r="S258" i="5"/>
  <c r="AG182" i="5"/>
  <c r="S182" i="5"/>
  <c r="R182" i="5"/>
  <c r="S174" i="5"/>
  <c r="AG174" i="5"/>
  <c r="R174" i="5"/>
  <c r="S166" i="5"/>
  <c r="AG166" i="5"/>
  <c r="R166" i="5"/>
  <c r="R158" i="5"/>
  <c r="AG158" i="5"/>
  <c r="S158" i="5"/>
  <c r="AG142" i="5"/>
  <c r="R142" i="5"/>
  <c r="S142" i="5"/>
  <c r="AG126" i="5"/>
  <c r="R126" i="5"/>
  <c r="S126" i="5"/>
  <c r="AG70" i="5"/>
  <c r="S70" i="5"/>
  <c r="R70" i="5"/>
  <c r="R264" i="5"/>
  <c r="AG264" i="5"/>
  <c r="S264" i="5"/>
  <c r="AG260" i="5"/>
  <c r="S260" i="5"/>
  <c r="R260" i="5"/>
  <c r="S220" i="5"/>
  <c r="I83" i="8"/>
  <c r="AG220" i="5"/>
  <c r="AG216" i="5"/>
  <c r="S216" i="5"/>
  <c r="I80" i="8"/>
  <c r="AG212" i="5"/>
  <c r="S212" i="5"/>
  <c r="AG196" i="5"/>
  <c r="R196" i="5"/>
  <c r="S196" i="5"/>
  <c r="S184" i="5"/>
  <c r="AG184" i="5"/>
  <c r="S172" i="5"/>
  <c r="AG172" i="5"/>
  <c r="R172" i="5"/>
  <c r="S148" i="5"/>
  <c r="AG148" i="5"/>
  <c r="S120" i="5"/>
  <c r="AG120" i="5"/>
  <c r="S108" i="5"/>
  <c r="AG108" i="5"/>
  <c r="AG100" i="5"/>
  <c r="S100" i="5"/>
  <c r="R100" i="5"/>
  <c r="S92" i="5"/>
  <c r="AG92" i="5"/>
  <c r="AG56" i="5"/>
  <c r="S56" i="5"/>
  <c r="S48" i="5"/>
  <c r="AG48" i="5"/>
  <c r="R261" i="5"/>
  <c r="S261" i="5"/>
  <c r="AG261" i="5"/>
  <c r="S197" i="5"/>
  <c r="AG197" i="5"/>
  <c r="I74" i="8"/>
  <c r="R181" i="5"/>
  <c r="S181" i="5"/>
  <c r="AG181" i="5"/>
  <c r="S157" i="5"/>
  <c r="AG157" i="5"/>
  <c r="R157" i="5"/>
  <c r="AG149" i="5"/>
  <c r="S149" i="5"/>
  <c r="AG125" i="5"/>
  <c r="S125" i="5"/>
  <c r="R125" i="5"/>
  <c r="S101" i="5"/>
  <c r="AG101" i="5"/>
  <c r="AG53" i="5"/>
  <c r="S53" i="5"/>
  <c r="R53" i="5"/>
  <c r="AG246" i="5"/>
  <c r="R246" i="5"/>
  <c r="S246" i="5"/>
  <c r="S222" i="5"/>
  <c r="AG222" i="5"/>
  <c r="S162" i="5"/>
  <c r="R162" i="5"/>
  <c r="AG162" i="5"/>
  <c r="S90" i="5"/>
  <c r="R90" i="5"/>
  <c r="AG90" i="5"/>
  <c r="AG54" i="5"/>
  <c r="S54" i="5"/>
  <c r="R54" i="5"/>
  <c r="AG263" i="5"/>
  <c r="S263" i="5"/>
  <c r="R263" i="5"/>
  <c r="AG259" i="5"/>
  <c r="S259" i="5"/>
  <c r="R259" i="5"/>
  <c r="S247" i="5"/>
  <c r="I92" i="8"/>
  <c r="AG247" i="5"/>
  <c r="AG223" i="5"/>
  <c r="I89" i="8"/>
  <c r="S223" i="5"/>
  <c r="AG219" i="5"/>
  <c r="R219" i="5"/>
  <c r="S219" i="5"/>
  <c r="AG211" i="5"/>
  <c r="R211" i="5"/>
  <c r="I77" i="8" s="1"/>
  <c r="S211" i="5"/>
  <c r="AG183" i="5"/>
  <c r="R183" i="5"/>
  <c r="S183" i="5"/>
  <c r="AG175" i="5"/>
  <c r="S175" i="5"/>
  <c r="AG171" i="5"/>
  <c r="R171" i="5"/>
  <c r="S171" i="5"/>
  <c r="AG163" i="5"/>
  <c r="S163" i="5"/>
  <c r="S159" i="5"/>
  <c r="AG159" i="5"/>
  <c r="AG147" i="5"/>
  <c r="R147" i="5"/>
  <c r="S147" i="5"/>
  <c r="AG143" i="5"/>
  <c r="S143" i="5"/>
  <c r="AG127" i="5"/>
  <c r="S127" i="5"/>
  <c r="AG91" i="5"/>
  <c r="S91" i="5"/>
  <c r="AG71" i="5"/>
  <c r="S71" i="5"/>
  <c r="AG55" i="5"/>
  <c r="R55" i="5"/>
  <c r="S55" i="5"/>
  <c r="R47" i="5"/>
  <c r="S47" i="5"/>
  <c r="AG47" i="5"/>
  <c r="D180" i="12"/>
  <c r="E180" i="6"/>
  <c r="G17" i="11" l="1"/>
  <c r="F17" i="13" s="1"/>
  <c r="I86" i="8"/>
  <c r="I187" i="5"/>
  <c r="O186" i="5"/>
  <c r="E185" i="6"/>
  <c r="D185" i="12"/>
  <c r="F55" i="6"/>
  <c r="E55" i="12"/>
  <c r="AC55" i="5"/>
  <c r="E211" i="12"/>
  <c r="F211" i="6"/>
  <c r="AC211" i="5"/>
  <c r="E53" i="12"/>
  <c r="F53" i="6"/>
  <c r="AC53" i="5"/>
  <c r="F149" i="12"/>
  <c r="AC149" i="5"/>
  <c r="F157" i="12"/>
  <c r="G157" i="6"/>
  <c r="E100" i="12"/>
  <c r="F100" i="6"/>
  <c r="AC100" i="5"/>
  <c r="F196" i="12"/>
  <c r="G196" i="6"/>
  <c r="F216" i="12"/>
  <c r="G216" i="6"/>
  <c r="F220" i="12"/>
  <c r="G220" i="6"/>
  <c r="F260" i="6"/>
  <c r="E260" i="12"/>
  <c r="AC260" i="5"/>
  <c r="F142" i="12"/>
  <c r="G142" i="6"/>
  <c r="F166" i="12"/>
  <c r="G166" i="6"/>
  <c r="F161" i="12"/>
  <c r="G161" i="6"/>
  <c r="F173" i="12"/>
  <c r="G173" i="6"/>
  <c r="F257" i="6"/>
  <c r="E257" i="12"/>
  <c r="AC257" i="5"/>
  <c r="F147" i="6"/>
  <c r="E147" i="12"/>
  <c r="AC147" i="5"/>
  <c r="F163" i="12"/>
  <c r="AC163" i="5"/>
  <c r="F211" i="12"/>
  <c r="G211" i="6"/>
  <c r="E247" i="12"/>
  <c r="F247" i="6"/>
  <c r="AC247" i="5"/>
  <c r="F259" i="6"/>
  <c r="E259" i="12"/>
  <c r="AC259" i="5"/>
  <c r="E181" i="12"/>
  <c r="F181" i="6"/>
  <c r="AC181" i="5"/>
  <c r="F48" i="12"/>
  <c r="AC48" i="5"/>
  <c r="F92" i="12"/>
  <c r="AC92" i="5"/>
  <c r="F172" i="12"/>
  <c r="G172" i="6"/>
  <c r="E220" i="12"/>
  <c r="F220" i="6"/>
  <c r="AC220" i="5"/>
  <c r="F264" i="12"/>
  <c r="G264" i="6"/>
  <c r="F70" i="12"/>
  <c r="G70" i="6"/>
  <c r="F174" i="12"/>
  <c r="G174" i="6"/>
  <c r="E262" i="12"/>
  <c r="F262" i="6"/>
  <c r="AC262" i="5"/>
  <c r="F265" i="6"/>
  <c r="E265" i="12"/>
  <c r="AC265" i="5"/>
  <c r="F47" i="12"/>
  <c r="G47" i="6"/>
  <c r="F171" i="12"/>
  <c r="G171" i="6"/>
  <c r="F219" i="12"/>
  <c r="G219" i="6"/>
  <c r="F223" i="6"/>
  <c r="E223" i="12"/>
  <c r="AC223" i="5"/>
  <c r="E54" i="12"/>
  <c r="F54" i="6"/>
  <c r="AC54" i="5"/>
  <c r="F90" i="6"/>
  <c r="E90" i="12"/>
  <c r="AC90" i="5"/>
  <c r="F162" i="12"/>
  <c r="G162" i="6"/>
  <c r="E222" i="12"/>
  <c r="F222" i="6"/>
  <c r="AC222" i="5"/>
  <c r="F53" i="12"/>
  <c r="G53" i="6"/>
  <c r="F125" i="6"/>
  <c r="E125" i="12"/>
  <c r="AC125" i="5"/>
  <c r="F197" i="12"/>
  <c r="G197" i="6"/>
  <c r="E261" i="12"/>
  <c r="F261" i="6"/>
  <c r="AC261" i="5"/>
  <c r="F100" i="12"/>
  <c r="G100" i="6"/>
  <c r="F172" i="6"/>
  <c r="E172" i="12"/>
  <c r="AC172" i="5"/>
  <c r="F184" i="12"/>
  <c r="AC184" i="5"/>
  <c r="E196" i="12"/>
  <c r="F196" i="6"/>
  <c r="AC196" i="5"/>
  <c r="F212" i="12"/>
  <c r="G212" i="6"/>
  <c r="F260" i="12"/>
  <c r="G260" i="6"/>
  <c r="E264" i="12"/>
  <c r="F264" i="6"/>
  <c r="AC264" i="5"/>
  <c r="F126" i="12"/>
  <c r="G126" i="6"/>
  <c r="E142" i="12"/>
  <c r="F142" i="6"/>
  <c r="AC142" i="5"/>
  <c r="E158" i="12"/>
  <c r="F158" i="6"/>
  <c r="AC158" i="5"/>
  <c r="F174" i="6"/>
  <c r="E174" i="12"/>
  <c r="AC174" i="5"/>
  <c r="F182" i="12"/>
  <c r="G182" i="6"/>
  <c r="F258" i="6"/>
  <c r="E258" i="12"/>
  <c r="AC258" i="5"/>
  <c r="F257" i="12"/>
  <c r="G257" i="6"/>
  <c r="F265" i="12"/>
  <c r="G265" i="6"/>
  <c r="F91" i="12"/>
  <c r="AC91" i="5"/>
  <c r="F143" i="12"/>
  <c r="AC143" i="5"/>
  <c r="F175" i="12"/>
  <c r="AC175" i="5"/>
  <c r="F223" i="12"/>
  <c r="G223" i="6"/>
  <c r="F247" i="12"/>
  <c r="G247" i="6"/>
  <c r="F259" i="12"/>
  <c r="G259" i="6"/>
  <c r="F162" i="6"/>
  <c r="E162" i="12"/>
  <c r="AC162" i="5"/>
  <c r="F101" i="12"/>
  <c r="AC101" i="5"/>
  <c r="F261" i="12"/>
  <c r="G261" i="6"/>
  <c r="F56" i="12"/>
  <c r="AC56" i="5"/>
  <c r="F108" i="12"/>
  <c r="AC108" i="5"/>
  <c r="F148" i="12"/>
  <c r="AC148" i="5"/>
  <c r="F212" i="6"/>
  <c r="E212" i="12"/>
  <c r="AC212" i="5"/>
  <c r="E182" i="12"/>
  <c r="F182" i="6"/>
  <c r="AC182" i="5"/>
  <c r="F262" i="12"/>
  <c r="G262" i="6"/>
  <c r="F165" i="12"/>
  <c r="G165" i="6"/>
  <c r="F55" i="12"/>
  <c r="G55" i="6"/>
  <c r="E183" i="12"/>
  <c r="F183" i="6"/>
  <c r="AC183" i="5"/>
  <c r="F263" i="12"/>
  <c r="G263" i="6"/>
  <c r="F222" i="12"/>
  <c r="G222" i="6"/>
  <c r="E246" i="12"/>
  <c r="F246" i="6"/>
  <c r="AC246" i="5"/>
  <c r="E197" i="12"/>
  <c r="F197" i="6"/>
  <c r="AC197" i="5"/>
  <c r="E216" i="12"/>
  <c r="F216" i="6"/>
  <c r="AC216" i="5"/>
  <c r="F158" i="12"/>
  <c r="G158" i="6"/>
  <c r="F258" i="12"/>
  <c r="G258" i="6"/>
  <c r="E89" i="12"/>
  <c r="F89" i="6"/>
  <c r="AC89" i="5"/>
  <c r="F165" i="6"/>
  <c r="E165" i="12"/>
  <c r="AC165" i="5"/>
  <c r="E47" i="12"/>
  <c r="AC47" i="5"/>
  <c r="F47" i="6"/>
  <c r="F71" i="12"/>
  <c r="AC71" i="5"/>
  <c r="F127" i="12"/>
  <c r="AC127" i="5"/>
  <c r="F147" i="12"/>
  <c r="G147" i="6"/>
  <c r="F159" i="12"/>
  <c r="AC159" i="5"/>
  <c r="F171" i="6"/>
  <c r="E171" i="12"/>
  <c r="AC171" i="5"/>
  <c r="F183" i="12"/>
  <c r="G183" i="6"/>
  <c r="F219" i="6"/>
  <c r="E219" i="12"/>
  <c r="AC219" i="5"/>
  <c r="F263" i="6"/>
  <c r="E263" i="12"/>
  <c r="AC263" i="5"/>
  <c r="F54" i="12"/>
  <c r="G54" i="6"/>
  <c r="F90" i="12"/>
  <c r="G90" i="6"/>
  <c r="F246" i="12"/>
  <c r="G246" i="6"/>
  <c r="F125" i="12"/>
  <c r="G125" i="6"/>
  <c r="E157" i="12"/>
  <c r="F157" i="6"/>
  <c r="AC157" i="5"/>
  <c r="F181" i="12"/>
  <c r="G181" i="6"/>
  <c r="F120" i="12"/>
  <c r="AC120" i="5"/>
  <c r="F70" i="6"/>
  <c r="E70" i="12"/>
  <c r="AC70" i="5"/>
  <c r="F126" i="6"/>
  <c r="E126" i="12"/>
  <c r="AC126" i="5"/>
  <c r="F166" i="6"/>
  <c r="E166" i="12"/>
  <c r="AC166" i="5"/>
  <c r="F89" i="12"/>
  <c r="G89" i="6"/>
  <c r="E161" i="12"/>
  <c r="F161" i="6"/>
  <c r="AC161" i="5"/>
  <c r="F173" i="6"/>
  <c r="E173" i="12"/>
  <c r="AC173" i="5"/>
  <c r="N198" i="6" l="1"/>
  <c r="N202" i="6"/>
  <c r="N206" i="6"/>
  <c r="N210" i="6"/>
  <c r="N214" i="6"/>
  <c r="N218" i="6"/>
  <c r="N222" i="6"/>
  <c r="N226" i="6"/>
  <c r="N230" i="6"/>
  <c r="N234" i="6"/>
  <c r="N238" i="6"/>
  <c r="N250" i="6"/>
  <c r="N262" i="6"/>
  <c r="N199" i="6"/>
  <c r="N203" i="6"/>
  <c r="N207" i="6"/>
  <c r="N211" i="6"/>
  <c r="N215" i="6"/>
  <c r="N219" i="6"/>
  <c r="N223" i="6"/>
  <c r="N227" i="6"/>
  <c r="N231" i="6"/>
  <c r="N235" i="6"/>
  <c r="N239" i="6"/>
  <c r="N243" i="6"/>
  <c r="N247" i="6"/>
  <c r="N259" i="6"/>
  <c r="N200" i="6"/>
  <c r="N204" i="6"/>
  <c r="N208" i="6"/>
  <c r="N212" i="6"/>
  <c r="N216" i="6"/>
  <c r="N220" i="6"/>
  <c r="N224" i="6"/>
  <c r="N228" i="6"/>
  <c r="N232" i="6"/>
  <c r="N236" i="6"/>
  <c r="N240" i="6"/>
  <c r="N244" i="6"/>
  <c r="N248" i="6"/>
  <c r="N252" i="6"/>
  <c r="N256" i="6"/>
  <c r="N260" i="6"/>
  <c r="N264" i="6"/>
  <c r="N242" i="6"/>
  <c r="N254" i="6"/>
  <c r="N251" i="6"/>
  <c r="N263" i="6"/>
  <c r="N201" i="6"/>
  <c r="N205" i="6"/>
  <c r="N209" i="6"/>
  <c r="N213" i="6"/>
  <c r="N217" i="6"/>
  <c r="N221" i="6"/>
  <c r="N225" i="6"/>
  <c r="N229" i="6"/>
  <c r="N233" i="6"/>
  <c r="N237" i="6"/>
  <c r="N241" i="6"/>
  <c r="N245" i="6"/>
  <c r="N249" i="6"/>
  <c r="N253" i="6"/>
  <c r="N257" i="6"/>
  <c r="N261" i="6"/>
  <c r="N265" i="6"/>
  <c r="N246" i="6"/>
  <c r="N258" i="6"/>
  <c r="N255" i="6"/>
  <c r="I188" i="5"/>
  <c r="O187" i="5"/>
  <c r="D186" i="12"/>
  <c r="E186" i="6"/>
  <c r="C38" i="9" l="1"/>
  <c r="C38" i="10"/>
  <c r="C37" i="9"/>
  <c r="C37" i="10"/>
  <c r="C36" i="9"/>
  <c r="C36" i="10"/>
  <c r="C35" i="10"/>
  <c r="C35" i="9"/>
  <c r="C34" i="10"/>
  <c r="C34" i="9"/>
  <c r="C33" i="10"/>
  <c r="C33" i="9"/>
  <c r="I189" i="5"/>
  <c r="O188" i="5"/>
  <c r="D187" i="12"/>
  <c r="E187" i="6"/>
  <c r="I190" i="5" l="1"/>
  <c r="O189" i="5"/>
  <c r="D188" i="12"/>
  <c r="E188" i="6"/>
  <c r="I191" i="5" l="1"/>
  <c r="O190" i="5"/>
  <c r="D189" i="12"/>
  <c r="E189" i="6"/>
  <c r="I192" i="5" l="1"/>
  <c r="O191" i="5"/>
  <c r="E190" i="6"/>
  <c r="D190" i="12"/>
  <c r="I193" i="5" l="1"/>
  <c r="O192" i="5"/>
  <c r="D191" i="12"/>
  <c r="E191" i="6"/>
  <c r="I194" i="5" l="1"/>
  <c r="O193" i="5"/>
  <c r="E192" i="6"/>
  <c r="D192" i="12"/>
  <c r="I195" i="5" l="1"/>
  <c r="O194" i="5"/>
  <c r="D193" i="12"/>
  <c r="E193" i="6"/>
  <c r="I196" i="5" l="1"/>
  <c r="I197" i="5" s="1"/>
  <c r="I198" i="5" s="1"/>
  <c r="O195" i="5"/>
  <c r="D194" i="12"/>
  <c r="E194" i="6"/>
  <c r="I199" i="5" l="1"/>
  <c r="O198" i="5"/>
  <c r="E195" i="6"/>
  <c r="D195" i="12"/>
  <c r="I200" i="5" l="1"/>
  <c r="O199" i="5"/>
  <c r="D198" i="12"/>
  <c r="E198" i="6"/>
  <c r="I201" i="5" l="1"/>
  <c r="O200" i="5"/>
  <c r="E199" i="6"/>
  <c r="D199" i="12"/>
  <c r="I202" i="5" l="1"/>
  <c r="O201" i="5"/>
  <c r="D200" i="12"/>
  <c r="E200" i="6"/>
  <c r="I203" i="5" l="1"/>
  <c r="O202" i="5"/>
  <c r="D201" i="12"/>
  <c r="E201" i="6"/>
  <c r="I204" i="5" l="1"/>
  <c r="O203" i="5"/>
  <c r="D202" i="12"/>
  <c r="E202" i="6"/>
  <c r="I205" i="5" l="1"/>
  <c r="O204" i="5"/>
  <c r="E203" i="6"/>
  <c r="D203" i="12"/>
  <c r="I206" i="5" l="1"/>
  <c r="O205" i="5"/>
  <c r="D204" i="12"/>
  <c r="E204" i="6"/>
  <c r="I207" i="5" l="1"/>
  <c r="O206" i="5"/>
  <c r="D205" i="12"/>
  <c r="E205" i="6"/>
  <c r="I208" i="5" l="1"/>
  <c r="O207" i="5"/>
  <c r="E206" i="6"/>
  <c r="D206" i="12"/>
  <c r="I209" i="5" l="1"/>
  <c r="O208" i="5"/>
  <c r="E207" i="6"/>
  <c r="D207" i="12"/>
  <c r="I210" i="5" l="1"/>
  <c r="O209" i="5"/>
  <c r="E208" i="6"/>
  <c r="D208" i="12"/>
  <c r="I211" i="5" l="1"/>
  <c r="I212" i="5" s="1"/>
  <c r="I213" i="5" s="1"/>
  <c r="O210" i="5"/>
  <c r="D209" i="12"/>
  <c r="E209" i="6"/>
  <c r="I214" i="5" l="1"/>
  <c r="O213" i="5"/>
  <c r="D210" i="12"/>
  <c r="E210" i="6"/>
  <c r="I215" i="5" l="1"/>
  <c r="O214" i="5"/>
  <c r="E213" i="6"/>
  <c r="D213" i="12"/>
  <c r="I216" i="5" l="1"/>
  <c r="I217" i="5" s="1"/>
  <c r="O215" i="5"/>
  <c r="D214" i="12"/>
  <c r="E214" i="6"/>
  <c r="I218" i="5" l="1"/>
  <c r="O217" i="5"/>
  <c r="D215" i="12"/>
  <c r="E215" i="6"/>
  <c r="I219" i="5" l="1"/>
  <c r="I220" i="5" s="1"/>
  <c r="I221" i="5" s="1"/>
  <c r="O218" i="5"/>
  <c r="D217" i="12"/>
  <c r="E217" i="6"/>
  <c r="I222" i="5" l="1"/>
  <c r="I223" i="5" s="1"/>
  <c r="I224" i="5" s="1"/>
  <c r="O221" i="5"/>
  <c r="E218" i="6"/>
  <c r="D218" i="12"/>
  <c r="I225" i="5" l="1"/>
  <c r="O224" i="5"/>
  <c r="E221" i="6"/>
  <c r="D221" i="12"/>
  <c r="I226" i="5" l="1"/>
  <c r="O225" i="5"/>
  <c r="E224" i="6"/>
  <c r="D224" i="12"/>
  <c r="I227" i="5" l="1"/>
  <c r="O226" i="5"/>
  <c r="D225" i="12"/>
  <c r="E225" i="6"/>
  <c r="I228" i="5" l="1"/>
  <c r="O227" i="5"/>
  <c r="D226" i="12"/>
  <c r="E226" i="6"/>
  <c r="I229" i="5" l="1"/>
  <c r="O228" i="5"/>
  <c r="D227" i="12"/>
  <c r="E227" i="6"/>
  <c r="I230" i="5" l="1"/>
  <c r="O229" i="5"/>
  <c r="D228" i="12"/>
  <c r="E228" i="6"/>
  <c r="I231" i="5" l="1"/>
  <c r="O230" i="5"/>
  <c r="E229" i="6"/>
  <c r="D229" i="12"/>
  <c r="I232" i="5" l="1"/>
  <c r="O231" i="5"/>
  <c r="D230" i="12"/>
  <c r="E230" i="6"/>
  <c r="I233" i="5" l="1"/>
  <c r="O232" i="5"/>
  <c r="D231" i="12"/>
  <c r="E231" i="6"/>
  <c r="I234" i="5" l="1"/>
  <c r="O233" i="5"/>
  <c r="E232" i="6"/>
  <c r="D232" i="12"/>
  <c r="I235" i="5" l="1"/>
  <c r="O234" i="5"/>
  <c r="D233" i="12"/>
  <c r="E233" i="6"/>
  <c r="I236" i="5" l="1"/>
  <c r="O235" i="5"/>
  <c r="E234" i="6"/>
  <c r="D234" i="12"/>
  <c r="I237" i="5" l="1"/>
  <c r="O236" i="5"/>
  <c r="E235" i="6"/>
  <c r="D235" i="12"/>
  <c r="I238" i="5" l="1"/>
  <c r="O237" i="5"/>
  <c r="E236" i="6"/>
  <c r="D236" i="12"/>
  <c r="I239" i="5" l="1"/>
  <c r="O238" i="5"/>
  <c r="E237" i="6"/>
  <c r="D237" i="12"/>
  <c r="I240" i="5" l="1"/>
  <c r="O239" i="5"/>
  <c r="E238" i="6"/>
  <c r="D238" i="12"/>
  <c r="I241" i="5" l="1"/>
  <c r="O240" i="5"/>
  <c r="D239" i="12"/>
  <c r="E239" i="6"/>
  <c r="I242" i="5" l="1"/>
  <c r="O241" i="5"/>
  <c r="D240" i="12"/>
  <c r="E240" i="6"/>
  <c r="I243" i="5" l="1"/>
  <c r="O242" i="5"/>
  <c r="D241" i="12"/>
  <c r="E241" i="6"/>
  <c r="I244" i="5" l="1"/>
  <c r="O243" i="5"/>
  <c r="D242" i="12"/>
  <c r="E242" i="6"/>
  <c r="I245" i="5" l="1"/>
  <c r="O244" i="5"/>
  <c r="E243" i="6"/>
  <c r="D243" i="12"/>
  <c r="I246" i="5" l="1"/>
  <c r="I247" i="5" s="1"/>
  <c r="I248" i="5" s="1"/>
  <c r="O245" i="5"/>
  <c r="E244" i="6"/>
  <c r="D244" i="12"/>
  <c r="I249" i="5" l="1"/>
  <c r="O248" i="5"/>
  <c r="E245" i="6"/>
  <c r="D245" i="12"/>
  <c r="I250" i="5" l="1"/>
  <c r="O249" i="5"/>
  <c r="E248" i="6"/>
  <c r="D248" i="12"/>
  <c r="I251" i="5" l="1"/>
  <c r="O250" i="5"/>
  <c r="E249" i="6"/>
  <c r="D249" i="12"/>
  <c r="I252" i="5" l="1"/>
  <c r="O251" i="5"/>
  <c r="E250" i="6"/>
  <c r="D250" i="12"/>
  <c r="I253" i="5" l="1"/>
  <c r="O252" i="5"/>
  <c r="E251" i="6"/>
  <c r="D251" i="12"/>
  <c r="I254" i="5" l="1"/>
  <c r="O253" i="5"/>
  <c r="D252" i="12"/>
  <c r="E252" i="6"/>
  <c r="I255" i="5" l="1"/>
  <c r="O254" i="5"/>
  <c r="D253" i="12"/>
  <c r="E253" i="6"/>
  <c r="I256" i="5" l="1"/>
  <c r="O255" i="5"/>
  <c r="D254" i="12"/>
  <c r="E254" i="6"/>
  <c r="I257" i="5" l="1"/>
  <c r="I258" i="5" s="1"/>
  <c r="I259" i="5" s="1"/>
  <c r="I260" i="5" s="1"/>
  <c r="I261" i="5" s="1"/>
  <c r="I262" i="5" s="1"/>
  <c r="I263" i="5" s="1"/>
  <c r="I264" i="5" s="1"/>
  <c r="I265" i="5" s="1"/>
  <c r="O256" i="5"/>
  <c r="E255" i="6"/>
  <c r="D255" i="12"/>
  <c r="D256" i="12" l="1"/>
  <c r="E256" i="6"/>
  <c r="AF16" i="5" l="1"/>
  <c r="AF210" i="5"/>
  <c r="AG210" i="5" l="1"/>
  <c r="R210" i="5"/>
  <c r="S210" i="5"/>
  <c r="S16" i="5"/>
  <c r="AG16" i="5"/>
  <c r="AF21" i="5"/>
  <c r="AF14" i="5"/>
  <c r="AF17" i="5"/>
  <c r="AF221" i="5"/>
  <c r="AF20" i="5"/>
  <c r="AG21" i="5" l="1"/>
  <c r="S21" i="5"/>
  <c r="F21" i="12" s="1"/>
  <c r="AG20" i="5"/>
  <c r="R20" i="5"/>
  <c r="S20" i="5"/>
  <c r="S17" i="5"/>
  <c r="AG17" i="5"/>
  <c r="AG14" i="5"/>
  <c r="S14" i="5"/>
  <c r="R14" i="5"/>
  <c r="AC16" i="5"/>
  <c r="F16" i="12"/>
  <c r="AC21" i="5"/>
  <c r="F210" i="6"/>
  <c r="E210" i="12"/>
  <c r="AC210" i="5"/>
  <c r="G210" i="6"/>
  <c r="F210" i="12"/>
  <c r="AF36" i="5"/>
  <c r="AF35" i="5"/>
  <c r="AF32" i="5"/>
  <c r="AF25" i="5"/>
  <c r="AF33" i="5"/>
  <c r="AF19" i="5"/>
  <c r="AF218" i="5"/>
  <c r="AF104" i="5"/>
  <c r="AF95" i="5"/>
  <c r="AF110" i="5"/>
  <c r="AF146" i="5"/>
  <c r="AF60" i="5"/>
  <c r="AF145" i="5"/>
  <c r="AF43" i="5"/>
  <c r="AF185" i="5"/>
  <c r="AF153" i="5"/>
  <c r="AF38" i="5"/>
  <c r="AF131" i="5"/>
  <c r="AF256" i="5"/>
  <c r="AF87" i="5"/>
  <c r="AF213" i="5"/>
  <c r="AF40" i="5"/>
  <c r="AF136" i="5"/>
  <c r="AF133" i="5"/>
  <c r="AF204" i="5"/>
  <c r="AF203" i="5"/>
  <c r="AF105" i="5"/>
  <c r="AF244" i="5"/>
  <c r="AF129" i="5"/>
  <c r="AF116" i="5"/>
  <c r="AF154" i="5"/>
  <c r="AF252" i="5"/>
  <c r="AF144" i="5"/>
  <c r="AF138" i="5"/>
  <c r="AF59" i="5"/>
  <c r="AF169" i="5"/>
  <c r="AF242" i="5"/>
  <c r="AF178" i="5"/>
  <c r="AF193" i="5"/>
  <c r="AF225" i="5"/>
  <c r="AF250" i="5"/>
  <c r="AF94" i="5"/>
  <c r="AF167" i="5"/>
  <c r="AF245" i="5"/>
  <c r="AF64" i="5"/>
  <c r="AF179" i="5"/>
  <c r="AF188" i="5"/>
  <c r="AF224" i="5"/>
  <c r="AF106" i="5"/>
  <c r="AF18" i="5"/>
  <c r="AF52" i="5"/>
  <c r="AF226" i="5"/>
  <c r="AF82" i="5"/>
  <c r="AF255" i="5"/>
  <c r="AF150" i="5"/>
  <c r="AF46" i="5"/>
  <c r="AF51" i="5"/>
  <c r="AF134" i="5"/>
  <c r="AF130" i="5"/>
  <c r="AF238" i="5"/>
  <c r="AF88" i="5"/>
  <c r="AF124" i="5"/>
  <c r="AF74" i="5"/>
  <c r="AF180" i="5"/>
  <c r="AF186" i="5"/>
  <c r="AF155" i="5"/>
  <c r="AF230" i="5"/>
  <c r="AF86" i="5"/>
  <c r="AF233" i="5"/>
  <c r="AF123" i="5"/>
  <c r="AF192" i="5"/>
  <c r="AF80" i="5"/>
  <c r="AF207" i="5"/>
  <c r="AF249" i="5"/>
  <c r="AF199" i="5"/>
  <c r="AF117" i="5"/>
  <c r="AF228" i="5"/>
  <c r="AF251" i="5"/>
  <c r="AF49" i="5"/>
  <c r="AF42" i="5"/>
  <c r="AF107" i="5"/>
  <c r="AF121" i="5"/>
  <c r="AF208" i="5"/>
  <c r="AF66" i="5"/>
  <c r="AF68" i="5"/>
  <c r="AF195" i="5"/>
  <c r="AF239" i="5"/>
  <c r="AF45" i="5"/>
  <c r="AF83" i="5"/>
  <c r="AF177" i="5"/>
  <c r="AF217" i="5"/>
  <c r="AF241" i="5"/>
  <c r="AF96" i="5"/>
  <c r="AF97" i="5"/>
  <c r="AF139" i="5"/>
  <c r="AF50" i="5"/>
  <c r="AF84" i="5"/>
  <c r="AF73" i="5"/>
  <c r="AF206" i="5"/>
  <c r="AF240" i="5"/>
  <c r="AF69" i="5"/>
  <c r="AF113" i="5"/>
  <c r="AF209" i="5"/>
  <c r="AF253" i="5"/>
  <c r="AF135" i="5"/>
  <c r="AF202" i="5"/>
  <c r="AF236" i="5"/>
  <c r="AF65" i="5"/>
  <c r="AF151" i="5"/>
  <c r="AF152" i="5"/>
  <c r="AF227" i="5"/>
  <c r="AF231" i="5"/>
  <c r="AF198" i="5"/>
  <c r="AF232" i="5"/>
  <c r="AF141" i="5"/>
  <c r="AF76" i="5"/>
  <c r="AF229" i="5"/>
  <c r="AF103" i="5"/>
  <c r="AF201" i="5"/>
  <c r="AF75" i="5"/>
  <c r="AF61" i="5"/>
  <c r="AF160" i="5"/>
  <c r="AF132" i="5"/>
  <c r="AF72" i="5"/>
  <c r="AF128" i="5"/>
  <c r="AF191" i="5"/>
  <c r="AF122" i="5"/>
  <c r="AF215" i="5"/>
  <c r="AF98" i="5"/>
  <c r="AF200" i="5"/>
  <c r="AF115" i="5"/>
  <c r="AF187" i="5"/>
  <c r="AF67" i="5"/>
  <c r="AF41" i="5"/>
  <c r="AF81" i="5"/>
  <c r="AF176" i="5"/>
  <c r="AF205" i="5"/>
  <c r="AF140" i="5"/>
  <c r="AF118" i="5"/>
  <c r="AF111" i="5"/>
  <c r="AF189" i="5"/>
  <c r="AF237" i="5"/>
  <c r="AF234" i="5"/>
  <c r="AF248" i="5"/>
  <c r="AF168" i="5"/>
  <c r="AF254" i="5"/>
  <c r="AF62" i="5"/>
  <c r="AF243" i="5"/>
  <c r="AF57" i="5"/>
  <c r="AF77" i="5"/>
  <c r="AF164" i="5"/>
  <c r="AF58" i="5"/>
  <c r="AF112" i="5"/>
  <c r="AF37" i="5"/>
  <c r="AF235" i="5"/>
  <c r="AF156" i="5"/>
  <c r="AF109" i="5"/>
  <c r="AF63" i="5"/>
  <c r="AF119" i="5"/>
  <c r="AF44" i="5"/>
  <c r="AF85" i="5"/>
  <c r="AF194" i="5"/>
  <c r="AF79" i="5"/>
  <c r="AF170" i="5"/>
  <c r="AF190" i="5"/>
  <c r="AF39" i="5"/>
  <c r="AF214" i="5"/>
  <c r="AF114" i="5"/>
  <c r="AF99" i="5"/>
  <c r="AF78" i="5"/>
  <c r="AF93" i="5"/>
  <c r="AF102" i="5"/>
  <c r="AF137" i="5"/>
  <c r="AF22" i="5"/>
  <c r="AF29" i="5"/>
  <c r="AF23" i="5"/>
  <c r="AG221" i="5"/>
  <c r="S221" i="5"/>
  <c r="AF34" i="5"/>
  <c r="AF31" i="5"/>
  <c r="AF26" i="5"/>
  <c r="AF30" i="5"/>
  <c r="AF28" i="5"/>
  <c r="AF27" i="5"/>
  <c r="AF24" i="5"/>
  <c r="AG36" i="5" l="1"/>
  <c r="S36" i="5"/>
  <c r="S34" i="5"/>
  <c r="AG34" i="5"/>
  <c r="R34" i="5"/>
  <c r="G221" i="6"/>
  <c r="F221" i="12"/>
  <c r="R35" i="5"/>
  <c r="AG35" i="5"/>
  <c r="S35" i="5"/>
  <c r="F14" i="12"/>
  <c r="G14" i="6"/>
  <c r="E20" i="12"/>
  <c r="AC20" i="5"/>
  <c r="F20" i="6"/>
  <c r="E14" i="12"/>
  <c r="F14" i="6"/>
  <c r="AC14" i="5"/>
  <c r="AC17" i="5"/>
  <c r="F17" i="12"/>
  <c r="F36" i="12"/>
  <c r="F20" i="12"/>
  <c r="G20" i="6"/>
  <c r="S24" i="5"/>
  <c r="R24" i="5"/>
  <c r="AG27" i="5"/>
  <c r="R28" i="5"/>
  <c r="AG28" i="5"/>
  <c r="AG30" i="5"/>
  <c r="AG26" i="5"/>
  <c r="S26" i="5"/>
  <c r="AG31" i="5"/>
  <c r="S23" i="5"/>
  <c r="R29" i="5"/>
  <c r="AG29" i="5"/>
  <c r="AG22" i="5"/>
  <c r="AG137" i="5"/>
  <c r="S137" i="5"/>
  <c r="R102" i="5"/>
  <c r="S93" i="5"/>
  <c r="R93" i="5"/>
  <c r="AG78" i="5"/>
  <c r="AG99" i="5"/>
  <c r="S99" i="5"/>
  <c r="AG114" i="5"/>
  <c r="S214" i="5"/>
  <c r="AG214" i="5"/>
  <c r="S39" i="5"/>
  <c r="AG190" i="5"/>
  <c r="S190" i="5"/>
  <c r="S170" i="5"/>
  <c r="S79" i="5"/>
  <c r="R79" i="5"/>
  <c r="R194" i="5"/>
  <c r="AG85" i="5"/>
  <c r="S85" i="5"/>
  <c r="AG44" i="5"/>
  <c r="S119" i="5"/>
  <c r="R119" i="5"/>
  <c r="S63" i="5"/>
  <c r="S109" i="5"/>
  <c r="AG109" i="5"/>
  <c r="AG156" i="5"/>
  <c r="AG235" i="5"/>
  <c r="R235" i="5"/>
  <c r="S37" i="5"/>
  <c r="S112" i="5"/>
  <c r="AG112" i="5"/>
  <c r="S58" i="5"/>
  <c r="AG164" i="5"/>
  <c r="S164" i="5"/>
  <c r="AG77" i="5"/>
  <c r="AG57" i="5"/>
  <c r="R57" i="5"/>
  <c r="AG243" i="5"/>
  <c r="R62" i="5"/>
  <c r="S62" i="5"/>
  <c r="S254" i="5"/>
  <c r="S168" i="5"/>
  <c r="AG168" i="5"/>
  <c r="S248" i="5"/>
  <c r="R234" i="5"/>
  <c r="S234" i="5"/>
  <c r="S237" i="5"/>
  <c r="S189" i="5"/>
  <c r="R189" i="5"/>
  <c r="R111" i="5"/>
  <c r="R118" i="5"/>
  <c r="AG118" i="5"/>
  <c r="AG140" i="5"/>
  <c r="R205" i="5"/>
  <c r="AG205" i="5"/>
  <c r="R176" i="5"/>
  <c r="AG81" i="5"/>
  <c r="S81" i="5"/>
  <c r="R41" i="5"/>
  <c r="R67" i="5"/>
  <c r="AG67" i="5"/>
  <c r="AG187" i="5"/>
  <c r="AG115" i="5"/>
  <c r="R115" i="5"/>
  <c r="R200" i="5"/>
  <c r="AG98" i="5"/>
  <c r="R98" i="5"/>
  <c r="AG215" i="5"/>
  <c r="S122" i="5"/>
  <c r="AG122" i="5"/>
  <c r="AG191" i="5"/>
  <c r="R128" i="5"/>
  <c r="S128" i="5"/>
  <c r="AG72" i="5"/>
  <c r="AG132" i="5"/>
  <c r="R132" i="5"/>
  <c r="AG160" i="5"/>
  <c r="S61" i="5"/>
  <c r="AG61" i="5"/>
  <c r="R75" i="5"/>
  <c r="AG201" i="5"/>
  <c r="R201" i="5"/>
  <c r="AG103" i="5"/>
  <c r="R229" i="5"/>
  <c r="AG229" i="5"/>
  <c r="R76" i="5"/>
  <c r="S141" i="5"/>
  <c r="R141" i="5"/>
  <c r="AG232" i="5"/>
  <c r="AG198" i="5"/>
  <c r="R198" i="5"/>
  <c r="AG231" i="5"/>
  <c r="S227" i="5"/>
  <c r="AG227" i="5"/>
  <c r="AG152" i="5"/>
  <c r="AG151" i="5"/>
  <c r="S151" i="5"/>
  <c r="R65" i="5"/>
  <c r="R236" i="5"/>
  <c r="S236" i="5"/>
  <c r="R202" i="5"/>
  <c r="S135" i="5"/>
  <c r="AG135" i="5"/>
  <c r="R253" i="5"/>
  <c r="S209" i="5"/>
  <c r="AG209" i="5"/>
  <c r="R113" i="5"/>
  <c r="R69" i="5"/>
  <c r="AG69" i="5"/>
  <c r="AG240" i="5"/>
  <c r="AG206" i="5"/>
  <c r="R206" i="5"/>
  <c r="AG73" i="5"/>
  <c r="AG84" i="5"/>
  <c r="R84" i="5"/>
  <c r="S50" i="5"/>
  <c r="AG139" i="5"/>
  <c r="S139" i="5"/>
  <c r="R97" i="5"/>
  <c r="S96" i="5"/>
  <c r="AG96" i="5"/>
  <c r="R241" i="5"/>
  <c r="R217" i="5"/>
  <c r="S217" i="5"/>
  <c r="AG177" i="5"/>
  <c r="R83" i="5"/>
  <c r="S83" i="5"/>
  <c r="R45" i="5"/>
  <c r="R239" i="5"/>
  <c r="AG239" i="5"/>
  <c r="AG195" i="5"/>
  <c r="AG68" i="5"/>
  <c r="R68" i="5"/>
  <c r="R66" i="5"/>
  <c r="S208" i="5"/>
  <c r="AG208" i="5"/>
  <c r="R121" i="5"/>
  <c r="R107" i="5"/>
  <c r="S107" i="5"/>
  <c r="R42" i="5"/>
  <c r="R49" i="5"/>
  <c r="S49" i="5"/>
  <c r="S251" i="5"/>
  <c r="S228" i="5"/>
  <c r="R228" i="5"/>
  <c r="R117" i="5"/>
  <c r="S199" i="5"/>
  <c r="R199" i="5"/>
  <c r="AG249" i="5"/>
  <c r="AG207" i="5"/>
  <c r="R207" i="5"/>
  <c r="R80" i="5"/>
  <c r="AG192" i="5"/>
  <c r="S192" i="5"/>
  <c r="AG123" i="5"/>
  <c r="AG233" i="5"/>
  <c r="S233" i="5"/>
  <c r="S86" i="5"/>
  <c r="AG230" i="5"/>
  <c r="R230" i="5"/>
  <c r="S155" i="5"/>
  <c r="R186" i="5"/>
  <c r="S186" i="5"/>
  <c r="S180" i="5"/>
  <c r="AG74" i="5"/>
  <c r="R74" i="5"/>
  <c r="R124" i="5"/>
  <c r="S88" i="5"/>
  <c r="R88" i="5"/>
  <c r="AG238" i="5"/>
  <c r="AG130" i="5"/>
  <c r="S130" i="5"/>
  <c r="S134" i="5"/>
  <c r="R51" i="5"/>
  <c r="S51" i="5"/>
  <c r="R46" i="5"/>
  <c r="R150" i="5"/>
  <c r="S150" i="5"/>
  <c r="R255" i="5"/>
  <c r="AG82" i="5"/>
  <c r="R82" i="5"/>
  <c r="AG226" i="5"/>
  <c r="R52" i="5"/>
  <c r="S52" i="5"/>
  <c r="R18" i="5"/>
  <c r="R106" i="5"/>
  <c r="AG106" i="5"/>
  <c r="AG224" i="5"/>
  <c r="S188" i="5"/>
  <c r="AG188" i="5"/>
  <c r="S179" i="5"/>
  <c r="AG64" i="5"/>
  <c r="R64" i="5"/>
  <c r="R245" i="5"/>
  <c r="S167" i="5"/>
  <c r="AG167" i="5"/>
  <c r="S94" i="5"/>
  <c r="AG250" i="5"/>
  <c r="S250" i="5"/>
  <c r="R225" i="5"/>
  <c r="AG193" i="5"/>
  <c r="R193" i="5"/>
  <c r="R178" i="5"/>
  <c r="AG242" i="5"/>
  <c r="S242" i="5"/>
  <c r="AG169" i="5"/>
  <c r="R59" i="5"/>
  <c r="AG59" i="5"/>
  <c r="S138" i="5"/>
  <c r="AG144" i="5"/>
  <c r="S144" i="5"/>
  <c r="AG252" i="5"/>
  <c r="S154" i="5"/>
  <c r="AG154" i="5"/>
  <c r="R116" i="5"/>
  <c r="AG129" i="5"/>
  <c r="S129" i="5"/>
  <c r="R244" i="5"/>
  <c r="AG105" i="5"/>
  <c r="S105" i="5"/>
  <c r="R203" i="5"/>
  <c r="AG204" i="5"/>
  <c r="R204" i="5"/>
  <c r="AG133" i="5"/>
  <c r="R136" i="5"/>
  <c r="S136" i="5"/>
  <c r="S40" i="5"/>
  <c r="S213" i="5"/>
  <c r="R213" i="5"/>
  <c r="AG87" i="5"/>
  <c r="S256" i="5"/>
  <c r="AG256" i="5"/>
  <c r="S131" i="5"/>
  <c r="R38" i="5"/>
  <c r="AG38" i="5"/>
  <c r="AG153" i="5"/>
  <c r="S185" i="5"/>
  <c r="R185" i="5"/>
  <c r="R43" i="5"/>
  <c r="R145" i="5"/>
  <c r="AG145" i="5"/>
  <c r="AG24" i="5"/>
  <c r="S27" i="5"/>
  <c r="R27" i="5"/>
  <c r="S28" i="5"/>
  <c r="S30" i="5"/>
  <c r="R30" i="5"/>
  <c r="R26" i="5"/>
  <c r="S31" i="5"/>
  <c r="R31" i="5"/>
  <c r="AG23" i="5"/>
  <c r="R23" i="5"/>
  <c r="S29" i="5"/>
  <c r="S22" i="5"/>
  <c r="R22" i="5"/>
  <c r="R137" i="5"/>
  <c r="AG102" i="5"/>
  <c r="S102" i="5"/>
  <c r="AG93" i="5"/>
  <c r="S78" i="5"/>
  <c r="R78" i="5"/>
  <c r="R99" i="5"/>
  <c r="S114" i="5"/>
  <c r="R114" i="5"/>
  <c r="R214" i="5"/>
  <c r="R39" i="5"/>
  <c r="AG39" i="5"/>
  <c r="R190" i="5"/>
  <c r="R170" i="5"/>
  <c r="AG170" i="5"/>
  <c r="AG79" i="5"/>
  <c r="AG194" i="5"/>
  <c r="S194" i="5"/>
  <c r="R85" i="5"/>
  <c r="R44" i="5"/>
  <c r="S44" i="5"/>
  <c r="AG119" i="5"/>
  <c r="R63" i="5"/>
  <c r="AG63" i="5"/>
  <c r="R109" i="5"/>
  <c r="R156" i="5"/>
  <c r="S156" i="5"/>
  <c r="S235" i="5"/>
  <c r="R37" i="5"/>
  <c r="AG37" i="5"/>
  <c r="R112" i="5"/>
  <c r="R58" i="5"/>
  <c r="AG58" i="5"/>
  <c r="R164" i="5"/>
  <c r="R77" i="5"/>
  <c r="S77" i="5"/>
  <c r="S57" i="5"/>
  <c r="R243" i="5"/>
  <c r="S243" i="5"/>
  <c r="AG62" i="5"/>
  <c r="AG254" i="5"/>
  <c r="R254" i="5"/>
  <c r="R168" i="5"/>
  <c r="AG248" i="5"/>
  <c r="R248" i="5"/>
  <c r="AG234" i="5"/>
  <c r="AG237" i="5"/>
  <c r="R237" i="5"/>
  <c r="AG189" i="5"/>
  <c r="S111" i="5"/>
  <c r="AG111" i="5"/>
  <c r="S118" i="5"/>
  <c r="R140" i="5"/>
  <c r="S140" i="5"/>
  <c r="S205" i="5"/>
  <c r="AG176" i="5"/>
  <c r="S176" i="5"/>
  <c r="R81" i="5"/>
  <c r="S41" i="5"/>
  <c r="AG41" i="5"/>
  <c r="S67" i="5"/>
  <c r="R187" i="5"/>
  <c r="S187" i="5"/>
  <c r="S115" i="5"/>
  <c r="AG200" i="5"/>
  <c r="S200" i="5"/>
  <c r="S98" i="5"/>
  <c r="S215" i="5"/>
  <c r="R215" i="5"/>
  <c r="R122" i="5"/>
  <c r="S191" i="5"/>
  <c r="R191" i="5"/>
  <c r="AG128" i="5"/>
  <c r="S72" i="5"/>
  <c r="R72" i="5"/>
  <c r="S132" i="5"/>
  <c r="S160" i="5"/>
  <c r="R160" i="5"/>
  <c r="R61" i="5"/>
  <c r="S75" i="5"/>
  <c r="AG75" i="5"/>
  <c r="S201" i="5"/>
  <c r="R103" i="5"/>
  <c r="S103" i="5"/>
  <c r="S229" i="5"/>
  <c r="AG76" i="5"/>
  <c r="S76" i="5"/>
  <c r="AG141" i="5"/>
  <c r="S232" i="5"/>
  <c r="R232" i="5"/>
  <c r="S198" i="5"/>
  <c r="S231" i="5"/>
  <c r="R231" i="5"/>
  <c r="R227" i="5"/>
  <c r="R152" i="5"/>
  <c r="S152" i="5"/>
  <c r="R151" i="5"/>
  <c r="S65" i="5"/>
  <c r="AG65" i="5"/>
  <c r="AG236" i="5"/>
  <c r="S202" i="5"/>
  <c r="AG202" i="5"/>
  <c r="R135" i="5"/>
  <c r="AG253" i="5"/>
  <c r="S253" i="5"/>
  <c r="R209" i="5"/>
  <c r="S113" i="5"/>
  <c r="AG113" i="5"/>
  <c r="S69" i="5"/>
  <c r="S240" i="5"/>
  <c r="R240" i="5"/>
  <c r="S206" i="5"/>
  <c r="S73" i="5"/>
  <c r="R73" i="5"/>
  <c r="S84" i="5"/>
  <c r="R50" i="5"/>
  <c r="AG50" i="5"/>
  <c r="R139" i="5"/>
  <c r="AG97" i="5"/>
  <c r="S97" i="5"/>
  <c r="R96" i="5"/>
  <c r="AG241" i="5"/>
  <c r="S241" i="5"/>
  <c r="AG217" i="5"/>
  <c r="S177" i="5"/>
  <c r="R177" i="5"/>
  <c r="AG83" i="5"/>
  <c r="AG45" i="5"/>
  <c r="S45" i="5"/>
  <c r="S239" i="5"/>
  <c r="R195" i="5"/>
  <c r="S195" i="5"/>
  <c r="S68" i="5"/>
  <c r="AG66" i="5"/>
  <c r="S66" i="5"/>
  <c r="R208" i="5"/>
  <c r="AG121" i="5"/>
  <c r="S121" i="5"/>
  <c r="AG107" i="5"/>
  <c r="S42" i="5"/>
  <c r="AG42" i="5"/>
  <c r="AG49" i="5"/>
  <c r="R251" i="5"/>
  <c r="AG251" i="5"/>
  <c r="AG228" i="5"/>
  <c r="AG117" i="5"/>
  <c r="S117" i="5"/>
  <c r="AG199" i="5"/>
  <c r="S249" i="5"/>
  <c r="R249" i="5"/>
  <c r="S207" i="5"/>
  <c r="AG80" i="5"/>
  <c r="S80" i="5"/>
  <c r="R192" i="5"/>
  <c r="S123" i="5"/>
  <c r="R123" i="5"/>
  <c r="R233" i="5"/>
  <c r="AG86" i="5"/>
  <c r="R86" i="5"/>
  <c r="S230" i="5"/>
  <c r="R155" i="5"/>
  <c r="AG155" i="5"/>
  <c r="AG186" i="5"/>
  <c r="R180" i="5"/>
  <c r="AG180" i="5"/>
  <c r="S74" i="5"/>
  <c r="AG124" i="5"/>
  <c r="S124" i="5"/>
  <c r="AG88" i="5"/>
  <c r="S238" i="5"/>
  <c r="R238" i="5"/>
  <c r="R130" i="5"/>
  <c r="AG134" i="5"/>
  <c r="R134" i="5"/>
  <c r="AG51" i="5"/>
  <c r="AG46" i="5"/>
  <c r="S46" i="5"/>
  <c r="AG150" i="5"/>
  <c r="S255" i="5"/>
  <c r="AG255" i="5"/>
  <c r="S82" i="5"/>
  <c r="R226" i="5"/>
  <c r="S226" i="5"/>
  <c r="AG52" i="5"/>
  <c r="S18" i="5"/>
  <c r="AG18" i="5"/>
  <c r="S106" i="5"/>
  <c r="R224" i="5"/>
  <c r="S224" i="5"/>
  <c r="R188" i="5"/>
  <c r="AG179" i="5"/>
  <c r="R179" i="5"/>
  <c r="S64" i="5"/>
  <c r="S245" i="5"/>
  <c r="AG245" i="5"/>
  <c r="R167" i="5"/>
  <c r="AG94" i="5"/>
  <c r="R94" i="5"/>
  <c r="R250" i="5"/>
  <c r="AG225" i="5"/>
  <c r="S225" i="5"/>
  <c r="S193" i="5"/>
  <c r="S178" i="5"/>
  <c r="AG178" i="5"/>
  <c r="R242" i="5"/>
  <c r="S169" i="5"/>
  <c r="R169" i="5"/>
  <c r="S59" i="5"/>
  <c r="AG138" i="5"/>
  <c r="R138" i="5"/>
  <c r="R144" i="5"/>
  <c r="S252" i="5"/>
  <c r="R252" i="5"/>
  <c r="R154" i="5"/>
  <c r="AG116" i="5"/>
  <c r="S116" i="5"/>
  <c r="R129" i="5"/>
  <c r="AG244" i="5"/>
  <c r="S244" i="5"/>
  <c r="R105" i="5"/>
  <c r="AG203" i="5"/>
  <c r="S203" i="5"/>
  <c r="S204" i="5"/>
  <c r="S133" i="5"/>
  <c r="R133" i="5"/>
  <c r="AG136" i="5"/>
  <c r="R40" i="5"/>
  <c r="AG40" i="5"/>
  <c r="AG213" i="5"/>
  <c r="S87" i="5"/>
  <c r="R87" i="5"/>
  <c r="R256" i="5"/>
  <c r="R131" i="5"/>
  <c r="AG131" i="5"/>
  <c r="S38" i="5"/>
  <c r="R153" i="5"/>
  <c r="S153" i="5"/>
  <c r="AG185" i="5"/>
  <c r="AG43" i="5"/>
  <c r="S43" i="5"/>
  <c r="S145" i="5"/>
  <c r="S60" i="5"/>
  <c r="R60" i="5"/>
  <c r="S146" i="5"/>
  <c r="R110" i="5"/>
  <c r="S110" i="5"/>
  <c r="S95" i="5"/>
  <c r="R104" i="5"/>
  <c r="AG104" i="5"/>
  <c r="AG218" i="5"/>
  <c r="S19" i="5"/>
  <c r="AG19" i="5"/>
  <c r="AG33" i="5"/>
  <c r="R25" i="5"/>
  <c r="AG25" i="5"/>
  <c r="S32" i="5"/>
  <c r="R221" i="5"/>
  <c r="AG60" i="5"/>
  <c r="AG146" i="5"/>
  <c r="R146" i="5"/>
  <c r="AG110" i="5"/>
  <c r="AG95" i="5"/>
  <c r="R95" i="5"/>
  <c r="S104" i="5"/>
  <c r="S218" i="5"/>
  <c r="R218" i="5"/>
  <c r="R19" i="5"/>
  <c r="R33" i="5"/>
  <c r="S33" i="5"/>
  <c r="S25" i="5"/>
  <c r="R32" i="5"/>
  <c r="AG32" i="5"/>
  <c r="AC36" i="5" l="1"/>
  <c r="F32" i="6"/>
  <c r="AC32" i="5"/>
  <c r="E32" i="12"/>
  <c r="G25" i="6"/>
  <c r="F25" i="12"/>
  <c r="G33" i="6"/>
  <c r="F33" i="12"/>
  <c r="E33" i="12"/>
  <c r="AC33" i="5"/>
  <c r="F33" i="6"/>
  <c r="AC19" i="5"/>
  <c r="E19" i="12"/>
  <c r="F19" i="6"/>
  <c r="F218" i="6"/>
  <c r="E218" i="12"/>
  <c r="AC218" i="5"/>
  <c r="F218" i="12"/>
  <c r="G218" i="6"/>
  <c r="F104" i="12"/>
  <c r="G104" i="6"/>
  <c r="E95" i="12"/>
  <c r="F95" i="6"/>
  <c r="AC95" i="5"/>
  <c r="E146" i="12"/>
  <c r="F146" i="6"/>
  <c r="AC146" i="5"/>
  <c r="E221" i="12"/>
  <c r="AC221" i="5"/>
  <c r="F221" i="6"/>
  <c r="F32" i="12"/>
  <c r="G32" i="6"/>
  <c r="AC25" i="5"/>
  <c r="F25" i="6"/>
  <c r="E25" i="12"/>
  <c r="F19" i="12"/>
  <c r="G19" i="6"/>
  <c r="E104" i="12"/>
  <c r="AC104" i="5"/>
  <c r="F104" i="6"/>
  <c r="F95" i="12"/>
  <c r="G95" i="6"/>
  <c r="G110" i="6"/>
  <c r="F110" i="12"/>
  <c r="AC110" i="5"/>
  <c r="E110" i="12"/>
  <c r="F110" i="6"/>
  <c r="G146" i="6"/>
  <c r="F146" i="12"/>
  <c r="AC60" i="5"/>
  <c r="E60" i="12"/>
  <c r="F60" i="6"/>
  <c r="G60" i="6"/>
  <c r="F60" i="12"/>
  <c r="G145" i="6"/>
  <c r="F145" i="12"/>
  <c r="F43" i="12"/>
  <c r="G43" i="6"/>
  <c r="G153" i="6"/>
  <c r="F153" i="12"/>
  <c r="AC153" i="5"/>
  <c r="E153" i="12"/>
  <c r="F153" i="6"/>
  <c r="F38" i="12"/>
  <c r="G38" i="6"/>
  <c r="E131" i="12"/>
  <c r="F131" i="6"/>
  <c r="AC131" i="5"/>
  <c r="E256" i="12"/>
  <c r="F256" i="6"/>
  <c r="AC256" i="5"/>
  <c r="AC87" i="5"/>
  <c r="F87" i="6"/>
  <c r="E87" i="12"/>
  <c r="F87" i="12"/>
  <c r="G87" i="6"/>
  <c r="AC40" i="5"/>
  <c r="E40" i="12"/>
  <c r="F40" i="6"/>
  <c r="E133" i="12"/>
  <c r="AC133" i="5"/>
  <c r="F133" i="6"/>
  <c r="G133" i="6"/>
  <c r="F133" i="12"/>
  <c r="F204" i="12"/>
  <c r="G204" i="6"/>
  <c r="G203" i="6"/>
  <c r="F203" i="12"/>
  <c r="AC105" i="5"/>
  <c r="E105" i="12"/>
  <c r="F105" i="6"/>
  <c r="G244" i="6"/>
  <c r="F244" i="12"/>
  <c r="AC129" i="5"/>
  <c r="F129" i="6"/>
  <c r="E129" i="12"/>
  <c r="G116" i="6"/>
  <c r="F116" i="12"/>
  <c r="AC154" i="5"/>
  <c r="F154" i="6"/>
  <c r="E154" i="12"/>
  <c r="AC252" i="5"/>
  <c r="F252" i="6"/>
  <c r="E252" i="12"/>
  <c r="F252" i="12"/>
  <c r="G252" i="6"/>
  <c r="E144" i="12"/>
  <c r="F144" i="6"/>
  <c r="AC144" i="5"/>
  <c r="F138" i="6"/>
  <c r="AC138" i="5"/>
  <c r="E138" i="12"/>
  <c r="G59" i="6"/>
  <c r="F59" i="12"/>
  <c r="F169" i="6"/>
  <c r="E169" i="12"/>
  <c r="AC169" i="5"/>
  <c r="F169" i="12"/>
  <c r="G169" i="6"/>
  <c r="F242" i="6"/>
  <c r="E242" i="12"/>
  <c r="AC242" i="5"/>
  <c r="G178" i="6"/>
  <c r="F178" i="12"/>
  <c r="F193" i="12"/>
  <c r="G193" i="6"/>
  <c r="G225" i="6"/>
  <c r="F225" i="12"/>
  <c r="AC250" i="5"/>
  <c r="E250" i="12"/>
  <c r="F250" i="6"/>
  <c r="AC94" i="5"/>
  <c r="F94" i="6"/>
  <c r="E94" i="12"/>
  <c r="E167" i="12"/>
  <c r="AC167" i="5"/>
  <c r="F167" i="6"/>
  <c r="G245" i="6"/>
  <c r="F245" i="12"/>
  <c r="G64" i="6"/>
  <c r="F64" i="12"/>
  <c r="F179" i="6"/>
  <c r="E179" i="12"/>
  <c r="AC179" i="5"/>
  <c r="E188" i="12"/>
  <c r="AC188" i="5"/>
  <c r="F188" i="6"/>
  <c r="F224" i="12"/>
  <c r="G224" i="6"/>
  <c r="AC224" i="5"/>
  <c r="F224" i="6"/>
  <c r="E224" i="12"/>
  <c r="G106" i="6"/>
  <c r="F106" i="12"/>
  <c r="F18" i="12"/>
  <c r="G18" i="6"/>
  <c r="G226" i="6"/>
  <c r="F226" i="12"/>
  <c r="F226" i="6"/>
  <c r="E226" i="12"/>
  <c r="AC226" i="5"/>
  <c r="G82" i="6"/>
  <c r="F82" i="12"/>
  <c r="F255" i="12"/>
  <c r="G255" i="6"/>
  <c r="G46" i="6"/>
  <c r="F46" i="12"/>
  <c r="AC134" i="5"/>
  <c r="E134" i="12"/>
  <c r="F134" i="6"/>
  <c r="E130" i="12"/>
  <c r="AC130" i="5"/>
  <c r="F130" i="6"/>
  <c r="AC238" i="5"/>
  <c r="E238" i="12"/>
  <c r="F238" i="6"/>
  <c r="F238" i="12"/>
  <c r="G238" i="6"/>
  <c r="F124" i="12"/>
  <c r="G124" i="6"/>
  <c r="G74" i="6"/>
  <c r="F74" i="12"/>
  <c r="F180" i="6"/>
  <c r="E180" i="12"/>
  <c r="AC180" i="5"/>
  <c r="E155" i="12"/>
  <c r="F155" i="6"/>
  <c r="AC155" i="5"/>
  <c r="G230" i="6"/>
  <c r="F230" i="12"/>
  <c r="AC86" i="5"/>
  <c r="E86" i="12"/>
  <c r="F86" i="6"/>
  <c r="F233" i="6"/>
  <c r="AC233" i="5"/>
  <c r="E233" i="12"/>
  <c r="E123" i="12"/>
  <c r="AC123" i="5"/>
  <c r="F123" i="6"/>
  <c r="F123" i="12"/>
  <c r="G123" i="6"/>
  <c r="E192" i="12"/>
  <c r="AC192" i="5"/>
  <c r="F192" i="6"/>
  <c r="G80" i="6"/>
  <c r="F80" i="12"/>
  <c r="F207" i="12"/>
  <c r="G207" i="6"/>
  <c r="F249" i="6"/>
  <c r="AC249" i="5"/>
  <c r="E249" i="12"/>
  <c r="F249" i="12"/>
  <c r="G249" i="6"/>
  <c r="F117" i="12"/>
  <c r="G117" i="6"/>
  <c r="F251" i="6"/>
  <c r="AC251" i="5"/>
  <c r="E251" i="12"/>
  <c r="G42" i="6"/>
  <c r="F42" i="12"/>
  <c r="G121" i="6"/>
  <c r="F121" i="12"/>
  <c r="AC208" i="5"/>
  <c r="F208" i="6"/>
  <c r="E208" i="12"/>
  <c r="G66" i="6"/>
  <c r="F66" i="12"/>
  <c r="F68" i="12"/>
  <c r="G68" i="6"/>
  <c r="G195" i="6"/>
  <c r="F195" i="12"/>
  <c r="AC195" i="5"/>
  <c r="F195" i="6"/>
  <c r="E195" i="12"/>
  <c r="F239" i="12"/>
  <c r="G239" i="6"/>
  <c r="F45" i="12"/>
  <c r="G45" i="6"/>
  <c r="AC177" i="5"/>
  <c r="E177" i="12"/>
  <c r="F177" i="6"/>
  <c r="G177" i="6"/>
  <c r="F177" i="12"/>
  <c r="F241" i="12"/>
  <c r="G241" i="6"/>
  <c r="F96" i="6"/>
  <c r="AC96" i="5"/>
  <c r="E96" i="12"/>
  <c r="G97" i="6"/>
  <c r="F97" i="12"/>
  <c r="AC139" i="5"/>
  <c r="F139" i="6"/>
  <c r="E139" i="12"/>
  <c r="E50" i="12"/>
  <c r="F50" i="6"/>
  <c r="AC50" i="5"/>
  <c r="F84" i="12"/>
  <c r="G84" i="6"/>
  <c r="E73" i="12"/>
  <c r="AC73" i="5"/>
  <c r="F73" i="6"/>
  <c r="F73" i="12"/>
  <c r="G73" i="6"/>
  <c r="F206" i="12"/>
  <c r="G206" i="6"/>
  <c r="AC240" i="5"/>
  <c r="F240" i="6"/>
  <c r="E240" i="12"/>
  <c r="F240" i="12"/>
  <c r="G240" i="6"/>
  <c r="F69" i="12"/>
  <c r="G69" i="6"/>
  <c r="F113" i="12"/>
  <c r="G113" i="6"/>
  <c r="F209" i="6"/>
  <c r="E209" i="12"/>
  <c r="AC209" i="5"/>
  <c r="F253" i="12"/>
  <c r="G253" i="6"/>
  <c r="AC135" i="5"/>
  <c r="E135" i="12"/>
  <c r="F135" i="6"/>
  <c r="G202" i="6"/>
  <c r="F202" i="12"/>
  <c r="G65" i="6"/>
  <c r="F65" i="12"/>
  <c r="AC151" i="5"/>
  <c r="E151" i="12"/>
  <c r="F151" i="6"/>
  <c r="F152" i="12"/>
  <c r="G152" i="6"/>
  <c r="E152" i="12"/>
  <c r="F152" i="6"/>
  <c r="AC152" i="5"/>
  <c r="AC227" i="5"/>
  <c r="F227" i="6"/>
  <c r="E227" i="12"/>
  <c r="E231" i="12"/>
  <c r="AC231" i="5"/>
  <c r="F231" i="6"/>
  <c r="G231" i="6"/>
  <c r="F231" i="12"/>
  <c r="F198" i="12"/>
  <c r="G198" i="6"/>
  <c r="E232" i="12"/>
  <c r="AC232" i="5"/>
  <c r="F232" i="6"/>
  <c r="G232" i="6"/>
  <c r="F232" i="12"/>
  <c r="G76" i="6"/>
  <c r="F76" i="12"/>
  <c r="F229" i="12"/>
  <c r="G229" i="6"/>
  <c r="F103" i="12"/>
  <c r="G103" i="6"/>
  <c r="F103" i="6"/>
  <c r="AC103" i="5"/>
  <c r="E103" i="12"/>
  <c r="G201" i="6"/>
  <c r="F201" i="12"/>
  <c r="G75" i="6"/>
  <c r="F75" i="12"/>
  <c r="AC61" i="5"/>
  <c r="F61" i="6"/>
  <c r="E61" i="12"/>
  <c r="F160" i="6"/>
  <c r="AC160" i="5"/>
  <c r="E160" i="12"/>
  <c r="G160" i="6"/>
  <c r="F160" i="12"/>
  <c r="F132" i="12"/>
  <c r="G132" i="6"/>
  <c r="E72" i="12"/>
  <c r="AC72" i="5"/>
  <c r="F72" i="6"/>
  <c r="G72" i="6"/>
  <c r="F72" i="12"/>
  <c r="E191" i="12"/>
  <c r="AC191" i="5"/>
  <c r="F191" i="6"/>
  <c r="F191" i="12"/>
  <c r="G191" i="6"/>
  <c r="F122" i="6"/>
  <c r="AC122" i="5"/>
  <c r="E122" i="12"/>
  <c r="F215" i="6"/>
  <c r="AC215" i="5"/>
  <c r="E215" i="12"/>
  <c r="G215" i="6"/>
  <c r="F215" i="12"/>
  <c r="F98" i="12"/>
  <c r="G98" i="6"/>
  <c r="F200" i="12"/>
  <c r="G200" i="6"/>
  <c r="F115" i="12"/>
  <c r="G115" i="6"/>
  <c r="F187" i="12"/>
  <c r="G187" i="6"/>
  <c r="F187" i="6"/>
  <c r="E187" i="12"/>
  <c r="AC187" i="5"/>
  <c r="G67" i="6"/>
  <c r="F67" i="12"/>
  <c r="F41" i="12"/>
  <c r="G41" i="6"/>
  <c r="AC81" i="5"/>
  <c r="E81" i="12"/>
  <c r="F81" i="6"/>
  <c r="F176" i="12"/>
  <c r="G176" i="6"/>
  <c r="G205" i="6"/>
  <c r="F205" i="12"/>
  <c r="G140" i="6"/>
  <c r="F140" i="12"/>
  <c r="AC140" i="5"/>
  <c r="E140" i="12"/>
  <c r="F140" i="6"/>
  <c r="G118" i="6"/>
  <c r="F118" i="12"/>
  <c r="F111" i="12"/>
  <c r="G111" i="6"/>
  <c r="AC237" i="5"/>
  <c r="E237" i="12"/>
  <c r="F237" i="6"/>
  <c r="E248" i="12"/>
  <c r="F248" i="6"/>
  <c r="AC248" i="5"/>
  <c r="E168" i="12"/>
  <c r="AC168" i="5"/>
  <c r="F168" i="6"/>
  <c r="AC254" i="5"/>
  <c r="E254" i="12"/>
  <c r="F254" i="6"/>
  <c r="F243" i="12"/>
  <c r="G243" i="6"/>
  <c r="AC243" i="5"/>
  <c r="F243" i="6"/>
  <c r="E243" i="12"/>
  <c r="F57" i="12"/>
  <c r="G57" i="6"/>
  <c r="F77" i="12"/>
  <c r="G77" i="6"/>
  <c r="E77" i="12"/>
  <c r="AC77" i="5"/>
  <c r="F77" i="6"/>
  <c r="F164" i="6"/>
  <c r="AC164" i="5"/>
  <c r="E164" i="12"/>
  <c r="F58" i="6"/>
  <c r="AC58" i="5"/>
  <c r="E58" i="12"/>
  <c r="E112" i="12"/>
  <c r="AC112" i="5"/>
  <c r="F112" i="6"/>
  <c r="F37" i="6"/>
  <c r="AC37" i="5"/>
  <c r="E37" i="12"/>
  <c r="G235" i="6"/>
  <c r="F235" i="12"/>
  <c r="F156" i="12"/>
  <c r="G156" i="6"/>
  <c r="AC156" i="5"/>
  <c r="E156" i="12"/>
  <c r="F156" i="6"/>
  <c r="E109" i="12"/>
  <c r="AC109" i="5"/>
  <c r="F109" i="6"/>
  <c r="F63" i="6"/>
  <c r="AC63" i="5"/>
  <c r="E63" i="12"/>
  <c r="G44" i="6"/>
  <c r="F44" i="12"/>
  <c r="E44" i="12"/>
  <c r="F44" i="6"/>
  <c r="AC44" i="5"/>
  <c r="E85" i="12"/>
  <c r="AC85" i="5"/>
  <c r="F85" i="6"/>
  <c r="G194" i="6"/>
  <c r="F194" i="12"/>
  <c r="AC170" i="5"/>
  <c r="F170" i="6"/>
  <c r="E170" i="12"/>
  <c r="F190" i="6"/>
  <c r="AC190" i="5"/>
  <c r="E190" i="12"/>
  <c r="AC39" i="5"/>
  <c r="F39" i="6"/>
  <c r="E39" i="12"/>
  <c r="E214" i="12"/>
  <c r="F214" i="6"/>
  <c r="AC214" i="5"/>
  <c r="AC114" i="5"/>
  <c r="F114" i="6"/>
  <c r="E114" i="12"/>
  <c r="F114" i="12"/>
  <c r="G114" i="6"/>
  <c r="F99" i="6"/>
  <c r="AC99" i="5"/>
  <c r="E99" i="12"/>
  <c r="AC78" i="5"/>
  <c r="E78" i="12"/>
  <c r="F78" i="6"/>
  <c r="G78" i="6"/>
  <c r="F78" i="12"/>
  <c r="F102" i="12"/>
  <c r="G102" i="6"/>
  <c r="AC137" i="5"/>
  <c r="E137" i="12"/>
  <c r="F137" i="6"/>
  <c r="F22" i="6"/>
  <c r="AC22" i="5"/>
  <c r="E22" i="12"/>
  <c r="F22" i="12"/>
  <c r="G22" i="6"/>
  <c r="G29" i="6"/>
  <c r="F29" i="12"/>
  <c r="E23" i="12"/>
  <c r="AC23" i="5"/>
  <c r="F23" i="6"/>
  <c r="AC31" i="5"/>
  <c r="F31" i="6"/>
  <c r="E31" i="12"/>
  <c r="F31" i="12"/>
  <c r="G31" i="6"/>
  <c r="F26" i="6"/>
  <c r="E26" i="12"/>
  <c r="AC26" i="5"/>
  <c r="AC30" i="5"/>
  <c r="F30" i="6"/>
  <c r="E30" i="12"/>
  <c r="F30" i="12"/>
  <c r="G30" i="6"/>
  <c r="G28" i="6"/>
  <c r="F28" i="12"/>
  <c r="AC27" i="5"/>
  <c r="E27" i="12"/>
  <c r="F27" i="6"/>
  <c r="F27" i="12"/>
  <c r="G27" i="6"/>
  <c r="E145" i="12"/>
  <c r="F145" i="6"/>
  <c r="AC145" i="5"/>
  <c r="F43" i="6"/>
  <c r="E43" i="12"/>
  <c r="AC43" i="5"/>
  <c r="E185" i="12"/>
  <c r="F185" i="6"/>
  <c r="AC185" i="5"/>
  <c r="G185" i="6"/>
  <c r="F185" i="12"/>
  <c r="E38" i="12"/>
  <c r="F38" i="6"/>
  <c r="AC38" i="5"/>
  <c r="F131" i="12"/>
  <c r="G131" i="6"/>
  <c r="F256" i="12"/>
  <c r="G256" i="6"/>
  <c r="E213" i="12"/>
  <c r="F213" i="6"/>
  <c r="AC213" i="5"/>
  <c r="F213" i="12"/>
  <c r="G213" i="6"/>
  <c r="F40" i="12"/>
  <c r="G40" i="6"/>
  <c r="F136" i="12"/>
  <c r="G136" i="6"/>
  <c r="AC136" i="5"/>
  <c r="E136" i="12"/>
  <c r="F136" i="6"/>
  <c r="F204" i="6"/>
  <c r="AC204" i="5"/>
  <c r="E204" i="12"/>
  <c r="F203" i="6"/>
  <c r="E203" i="12"/>
  <c r="AC203" i="5"/>
  <c r="G105" i="6"/>
  <c r="F105" i="12"/>
  <c r="F244" i="6"/>
  <c r="E244" i="12"/>
  <c r="AC244" i="5"/>
  <c r="G129" i="6"/>
  <c r="F129" i="12"/>
  <c r="E116" i="12"/>
  <c r="AC116" i="5"/>
  <c r="F116" i="6"/>
  <c r="F154" i="12"/>
  <c r="G154" i="6"/>
  <c r="G144" i="6"/>
  <c r="F144" i="12"/>
  <c r="G138" i="6"/>
  <c r="F138" i="12"/>
  <c r="E59" i="12"/>
  <c r="AC59" i="5"/>
  <c r="F59" i="6"/>
  <c r="G242" i="6"/>
  <c r="F242" i="12"/>
  <c r="F178" i="6"/>
  <c r="E178" i="12"/>
  <c r="AC178" i="5"/>
  <c r="F193" i="6"/>
  <c r="E193" i="12"/>
  <c r="AC193" i="5"/>
  <c r="AC225" i="5"/>
  <c r="E225" i="12"/>
  <c r="F225" i="6"/>
  <c r="G250" i="6"/>
  <c r="F250" i="12"/>
  <c r="G94" i="6"/>
  <c r="F94" i="12"/>
  <c r="G167" i="6"/>
  <c r="F167" i="12"/>
  <c r="AC245" i="5"/>
  <c r="E245" i="12"/>
  <c r="F245" i="6"/>
  <c r="E64" i="12"/>
  <c r="AC64" i="5"/>
  <c r="F64" i="6"/>
  <c r="F179" i="12"/>
  <c r="G179" i="6"/>
  <c r="F188" i="12"/>
  <c r="G188" i="6"/>
  <c r="AC106" i="5"/>
  <c r="E106" i="12"/>
  <c r="F106" i="6"/>
  <c r="AC18" i="5"/>
  <c r="E18" i="12"/>
  <c r="F18" i="6"/>
  <c r="G52" i="6"/>
  <c r="F52" i="12"/>
  <c r="AC52" i="5"/>
  <c r="E52" i="12"/>
  <c r="F52" i="6"/>
  <c r="AC82" i="5"/>
  <c r="F82" i="6"/>
  <c r="E82" i="12"/>
  <c r="F255" i="6"/>
  <c r="E255" i="12"/>
  <c r="AC255" i="5"/>
  <c r="G150" i="6"/>
  <c r="F150" i="12"/>
  <c r="E150" i="12"/>
  <c r="AC150" i="5"/>
  <c r="F150" i="6"/>
  <c r="AC46" i="5"/>
  <c r="E46" i="12"/>
  <c r="F46" i="6"/>
  <c r="G51" i="6"/>
  <c r="F51" i="12"/>
  <c r="F51" i="6"/>
  <c r="E51" i="12"/>
  <c r="AC51" i="5"/>
  <c r="G134" i="6"/>
  <c r="F134" i="12"/>
  <c r="G130" i="6"/>
  <c r="F130" i="12"/>
  <c r="E88" i="12"/>
  <c r="F88" i="6"/>
  <c r="AC88" i="5"/>
  <c r="F88" i="12"/>
  <c r="G88" i="6"/>
  <c r="F124" i="6"/>
  <c r="AC124" i="5"/>
  <c r="E124" i="12"/>
  <c r="F74" i="6"/>
  <c r="AC74" i="5"/>
  <c r="E74" i="12"/>
  <c r="G180" i="6"/>
  <c r="F180" i="12"/>
  <c r="G186" i="6"/>
  <c r="F186" i="12"/>
  <c r="AC186" i="5"/>
  <c r="E186" i="12"/>
  <c r="F186" i="6"/>
  <c r="G155" i="6"/>
  <c r="F155" i="12"/>
  <c r="E230" i="12"/>
  <c r="AC230" i="5"/>
  <c r="F230" i="6"/>
  <c r="G86" i="6"/>
  <c r="F86" i="12"/>
  <c r="G233" i="6"/>
  <c r="F233" i="12"/>
  <c r="G192" i="6"/>
  <c r="F192" i="12"/>
  <c r="AC80" i="5"/>
  <c r="E80" i="12"/>
  <c r="F80" i="6"/>
  <c r="AC207" i="5"/>
  <c r="E207" i="12"/>
  <c r="F207" i="6"/>
  <c r="F199" i="6"/>
  <c r="AC199" i="5"/>
  <c r="E199" i="12"/>
  <c r="F199" i="12"/>
  <c r="G199" i="6"/>
  <c r="E117" i="12"/>
  <c r="F117" i="6"/>
  <c r="AC117" i="5"/>
  <c r="AC228" i="5"/>
  <c r="F228" i="6"/>
  <c r="E228" i="12"/>
  <c r="G228" i="6"/>
  <c r="F228" i="12"/>
  <c r="F251" i="12"/>
  <c r="G251" i="6"/>
  <c r="G49" i="6"/>
  <c r="F49" i="12"/>
  <c r="AC49" i="5"/>
  <c r="F49" i="6"/>
  <c r="E49" i="12"/>
  <c r="F42" i="6"/>
  <c r="E42" i="12"/>
  <c r="AC42" i="5"/>
  <c r="F107" i="12"/>
  <c r="G107" i="6"/>
  <c r="AC107" i="5"/>
  <c r="E107" i="12"/>
  <c r="F107" i="6"/>
  <c r="F121" i="6"/>
  <c r="E121" i="12"/>
  <c r="AC121" i="5"/>
  <c r="G208" i="6"/>
  <c r="F208" i="12"/>
  <c r="AC66" i="5"/>
  <c r="F66" i="6"/>
  <c r="E66" i="12"/>
  <c r="AC68" i="5"/>
  <c r="F68" i="6"/>
  <c r="E68" i="12"/>
  <c r="E239" i="12"/>
  <c r="F239" i="6"/>
  <c r="AC239" i="5"/>
  <c r="AC45" i="5"/>
  <c r="F45" i="6"/>
  <c r="E45" i="12"/>
  <c r="G83" i="6"/>
  <c r="F83" i="12"/>
  <c r="AC83" i="5"/>
  <c r="E83" i="12"/>
  <c r="F83" i="6"/>
  <c r="G217" i="6"/>
  <c r="F217" i="12"/>
  <c r="E217" i="12"/>
  <c r="F217" i="6"/>
  <c r="AC217" i="5"/>
  <c r="AC241" i="5"/>
  <c r="E241" i="12"/>
  <c r="F241" i="6"/>
  <c r="G96" i="6"/>
  <c r="F96" i="12"/>
  <c r="AC97" i="5"/>
  <c r="E97" i="12"/>
  <c r="F97" i="6"/>
  <c r="F139" i="12"/>
  <c r="G139" i="6"/>
  <c r="F50" i="12"/>
  <c r="G50" i="6"/>
  <c r="E84" i="12"/>
  <c r="F84" i="6"/>
  <c r="AC84" i="5"/>
  <c r="E206" i="12"/>
  <c r="AC206" i="5"/>
  <c r="F206" i="6"/>
  <c r="E69" i="12"/>
  <c r="AC69" i="5"/>
  <c r="F69" i="6"/>
  <c r="AC113" i="5"/>
  <c r="F113" i="6"/>
  <c r="E113" i="12"/>
  <c r="F209" i="12"/>
  <c r="G209" i="6"/>
  <c r="F253" i="6"/>
  <c r="AC253" i="5"/>
  <c r="E253" i="12"/>
  <c r="F135" i="12"/>
  <c r="G135" i="6"/>
  <c r="AC202" i="5"/>
  <c r="E202" i="12"/>
  <c r="F202" i="6"/>
  <c r="F236" i="12"/>
  <c r="G236" i="6"/>
  <c r="E236" i="12"/>
  <c r="F236" i="6"/>
  <c r="AC236" i="5"/>
  <c r="F65" i="6"/>
  <c r="AC65" i="5"/>
  <c r="E65" i="12"/>
  <c r="G151" i="6"/>
  <c r="F151" i="12"/>
  <c r="F227" i="12"/>
  <c r="G227" i="6"/>
  <c r="AC198" i="5"/>
  <c r="E198" i="12"/>
  <c r="F198" i="6"/>
  <c r="E141" i="12"/>
  <c r="AC141" i="5"/>
  <c r="F141" i="6"/>
  <c r="F141" i="12"/>
  <c r="G141" i="6"/>
  <c r="F76" i="6"/>
  <c r="AC76" i="5"/>
  <c r="E76" i="12"/>
  <c r="E229" i="12"/>
  <c r="F229" i="6"/>
  <c r="AC229" i="5"/>
  <c r="E201" i="12"/>
  <c r="AC201" i="5"/>
  <c r="F201" i="6"/>
  <c r="E75" i="12"/>
  <c r="AC75" i="5"/>
  <c r="F75" i="6"/>
  <c r="F61" i="12"/>
  <c r="G61" i="6"/>
  <c r="AC132" i="5"/>
  <c r="F132" i="6"/>
  <c r="E132" i="12"/>
  <c r="G128" i="6"/>
  <c r="F128" i="12"/>
  <c r="F128" i="6"/>
  <c r="AC128" i="5"/>
  <c r="E128" i="12"/>
  <c r="G122" i="6"/>
  <c r="F122" i="12"/>
  <c r="E98" i="12"/>
  <c r="F98" i="6"/>
  <c r="AC98" i="5"/>
  <c r="AC200" i="5"/>
  <c r="F200" i="6"/>
  <c r="E200" i="12"/>
  <c r="F115" i="6"/>
  <c r="AC115" i="5"/>
  <c r="E115" i="12"/>
  <c r="AC67" i="5"/>
  <c r="E67" i="12"/>
  <c r="F67" i="6"/>
  <c r="E41" i="12"/>
  <c r="F41" i="6"/>
  <c r="AC41" i="5"/>
  <c r="F81" i="12"/>
  <c r="G81" i="6"/>
  <c r="F176" i="6"/>
  <c r="AC176" i="5"/>
  <c r="E176" i="12"/>
  <c r="AC205" i="5"/>
  <c r="E205" i="12"/>
  <c r="F205" i="6"/>
  <c r="F118" i="6"/>
  <c r="AC118" i="5"/>
  <c r="E118" i="12"/>
  <c r="E111" i="12"/>
  <c r="AC111" i="5"/>
  <c r="F111" i="6"/>
  <c r="AC189" i="5"/>
  <c r="E189" i="12"/>
  <c r="F189" i="6"/>
  <c r="F189" i="12"/>
  <c r="G189" i="6"/>
  <c r="G237" i="6"/>
  <c r="F237" i="12"/>
  <c r="F234" i="12"/>
  <c r="G234" i="6"/>
  <c r="AC234" i="5"/>
  <c r="E234" i="12"/>
  <c r="F234" i="6"/>
  <c r="F248" i="12"/>
  <c r="G248" i="6"/>
  <c r="F168" i="12"/>
  <c r="G168" i="6"/>
  <c r="G254" i="6"/>
  <c r="F254" i="12"/>
  <c r="F62" i="12"/>
  <c r="G62" i="6"/>
  <c r="E62" i="12"/>
  <c r="AC62" i="5"/>
  <c r="F62" i="6"/>
  <c r="AC57" i="5"/>
  <c r="E57" i="12"/>
  <c r="F57" i="6"/>
  <c r="F164" i="12"/>
  <c r="G164" i="6"/>
  <c r="G58" i="6"/>
  <c r="F58" i="12"/>
  <c r="G112" i="6"/>
  <c r="F112" i="12"/>
  <c r="F37" i="12"/>
  <c r="G37" i="6"/>
  <c r="F235" i="6"/>
  <c r="E235" i="12"/>
  <c r="AC235" i="5"/>
  <c r="G109" i="6"/>
  <c r="F109" i="12"/>
  <c r="F63" i="12"/>
  <c r="G63" i="6"/>
  <c r="E119" i="12"/>
  <c r="F119" i="6"/>
  <c r="AC119" i="5"/>
  <c r="F119" i="12"/>
  <c r="G119" i="6"/>
  <c r="G85" i="6"/>
  <c r="F85" i="12"/>
  <c r="E194" i="12"/>
  <c r="AC194" i="5"/>
  <c r="F194" i="6"/>
  <c r="E79" i="12"/>
  <c r="F79" i="6"/>
  <c r="AC79" i="5"/>
  <c r="F79" i="12"/>
  <c r="G79" i="6"/>
  <c r="G170" i="6"/>
  <c r="F170" i="12"/>
  <c r="F190" i="12"/>
  <c r="G190" i="6"/>
  <c r="F39" i="12"/>
  <c r="G39" i="6"/>
  <c r="F214" i="12"/>
  <c r="G214" i="6"/>
  <c r="F99" i="12"/>
  <c r="G99" i="6"/>
  <c r="F93" i="6"/>
  <c r="E93" i="12"/>
  <c r="AC93" i="5"/>
  <c r="F93" i="12"/>
  <c r="G93" i="6"/>
  <c r="E102" i="12"/>
  <c r="AC102" i="5"/>
  <c r="F102" i="6"/>
  <c r="G137" i="6"/>
  <c r="F137" i="12"/>
  <c r="E29" i="12"/>
  <c r="F29" i="6"/>
  <c r="AC29" i="5"/>
  <c r="F23" i="12"/>
  <c r="G23" i="6"/>
  <c r="G26" i="6"/>
  <c r="F26" i="12"/>
  <c r="E28" i="12"/>
  <c r="AC28" i="5"/>
  <c r="F28" i="6"/>
  <c r="E24" i="12"/>
  <c r="AC24" i="5"/>
  <c r="F24" i="6"/>
  <c r="G24" i="6"/>
  <c r="F24" i="12"/>
  <c r="F35" i="12"/>
  <c r="G35" i="6"/>
  <c r="AC35" i="5"/>
  <c r="E35" i="12"/>
  <c r="F35" i="6"/>
  <c r="E34" i="12"/>
  <c r="F34" i="6"/>
  <c r="AC34" i="5"/>
  <c r="F34" i="12"/>
  <c r="G34" i="6"/>
  <c r="AC11" i="5" l="1"/>
</calcChain>
</file>

<file path=xl/sharedStrings.xml><?xml version="1.0" encoding="utf-8"?>
<sst xmlns="http://schemas.openxmlformats.org/spreadsheetml/2006/main" count="2511" uniqueCount="541">
  <si>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</si>
  <si>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</si>
  <si>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</si>
  <si>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</si>
  <si>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</si>
  <si>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</si>
  <si>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</si>
  <si>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</si>
  <si>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</si>
  <si>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</si>
  <si>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</si>
  <si>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</si>
  <si>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</si>
  <si>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</si>
  <si>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</si>
  <si>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</si>
  <si>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</si>
  <si>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</si>
  <si>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</si>
  <si>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</si>
  <si>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</si>
  <si>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</si>
  <si>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</si>
  <si>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</si>
  <si>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</si>
  <si>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</si>
  <si>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</si>
  <si>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</si>
  <si>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</si>
  <si>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</si>
  <si>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</si>
  <si>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</si>
  <si>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</si>
  <si>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</si>
  <si>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</si>
  <si>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</si>
  <si>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</si>
  <si>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</si>
  <si>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</si>
  <si>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</si>
  <si>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</si>
  <si>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</si>
  <si>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</si>
  <si>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</si>
  <si>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</si>
  <si>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</si>
  <si>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</si>
  <si>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</si>
  <si>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</si>
  <si>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</si>
  <si>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</si>
  <si>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</si>
  <si>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</si>
  <si>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</si>
  <si>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</si>
  <si>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</si>
  <si>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</si>
  <si>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</si>
  <si>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</si>
  <si>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</si>
  <si>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</si>
  <si>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</si>
  <si>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</si>
  <si>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</si>
  <si>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</si>
  <si>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</si>
  <si>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</si>
  <si>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</si>
  <si>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</si>
  <si>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</si>
  <si>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</si>
  <si>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</si>
  <si>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</si>
  <si>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</si>
  <si>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</si>
  <si>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</si>
  <si>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</si>
  <si>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</si>
  <si>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</si>
  <si>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</si>
  <si>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</si>
  <si>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</si>
  <si>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</si>
  <si>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</si>
  <si>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</si>
  <si>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</si>
  <si>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</si>
  <si>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</si>
  <si>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</si>
  <si>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</si>
  <si>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</si>
  <si>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</si>
  <si>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</si>
  <si>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</si>
  <si>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</si>
  <si>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</si>
  <si>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</si>
  <si>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</si>
  <si>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</si>
  <si>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</si>
  <si>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</si>
  <si>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</si>
  <si>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</si>
  <si>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</si>
  <si>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</si>
  <si>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</si>
  <si>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</si>
  <si>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</si>
  <si>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</si>
  <si>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</si>
  <si>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</si>
  <si>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</si>
  <si>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</si>
  <si>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</si>
  <si>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</si>
  <si>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</si>
  <si>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</si>
  <si>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</si>
  <si>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</si>
  <si>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</si>
  <si>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</si>
  <si>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</si>
  <si>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</si>
  <si>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</si>
  <si>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</si>
  <si>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</si>
  <si>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</si>
  <si>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</si>
  <si>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</si>
  <si>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</si>
  <si>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</si>
  <si>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</si>
  <si>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</si>
  <si>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</si>
  <si>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</si>
  <si>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</si>
  <si>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</si>
  <si>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</si>
  <si>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</si>
  <si>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</si>
  <si>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</si>
  <si>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</si>
  <si>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</si>
  <si>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</si>
  <si>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</si>
  <si>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</si>
  <si>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</si>
  <si>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</si>
  <si>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</si>
  <si>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</si>
  <si>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</si>
  <si>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</si>
  <si>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</si>
  <si>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</si>
  <si>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</si>
  <si>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</si>
  <si>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</si>
  <si>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</si>
  <si>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</si>
  <si>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</si>
  <si>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</si>
  <si>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</si>
  <si>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</si>
  <si>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</si>
  <si>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</si>
  <si>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</si>
  <si>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</si>
  <si>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</si>
  <si>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</si>
  <si>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</si>
  <si>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</si>
  <si>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</si>
  <si>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</si>
  <si>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</si>
  <si>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</si>
  <si>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</si>
  <si>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</si>
  <si>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</si>
  <si>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</si>
  <si>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</si>
  <si>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</si>
  <si>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</si>
  <si>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</si>
  <si>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</si>
  <si>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</si>
  <si>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</si>
  <si>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</si>
  <si>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</si>
  <si>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</si>
  <si>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</si>
  <si>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</si>
  <si>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</si>
  <si>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</si>
  <si>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</si>
  <si>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</si>
  <si>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</si>
  <si>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</si>
  <si>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</si>
  <si>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</si>
  <si>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</si>
  <si>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</si>
  <si>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</si>
  <si>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</si>
  <si>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</si>
  <si>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</si>
  <si>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</si>
  <si>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</si>
  <si>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</si>
  <si>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</si>
  <si>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</si>
  <si>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</si>
  <si>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</si>
  <si>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</si>
  <si>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</si>
  <si>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</si>
  <si>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</si>
  <si>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</si>
  <si>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</si>
  <si>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</si>
  <si>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</si>
  <si>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</si>
  <si>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</si>
  <si>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</si>
  <si>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</si>
  <si>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</si>
  <si>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</si>
  <si>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</si>
  <si>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</si>
  <si>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</si>
  <si>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</si>
  <si>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</si>
  <si>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</si>
  <si>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</si>
  <si>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</si>
  <si>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</si>
  <si>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</si>
  <si>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</si>
  <si>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</si>
  <si>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</si>
  <si>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</si>
  <si>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</si>
  <si>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</si>
  <si>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</si>
  <si>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</si>
  <si>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</si>
  <si>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</si>
  <si>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</si>
  <si>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</si>
  <si>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</si>
  <si>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</si>
  <si>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</si>
  <si>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</si>
  <si>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</si>
  <si>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</si>
  <si>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</si>
  <si>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</si>
  <si>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</si>
  <si>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</si>
  <si>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</si>
  <si>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</si>
  <si>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</si>
  <si>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</si>
  <si>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</si>
  <si>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</si>
  <si>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</si>
  <si>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</si>
  <si>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</si>
  <si>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</si>
  <si>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</si>
  <si>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</si>
  <si>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</si>
  <si>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</si>
  <si>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</si>
  <si>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</si>
  <si>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</si>
  <si>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</si>
  <si>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</si>
  <si>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</si>
  <si>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</si>
  <si>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</si>
  <si>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</si>
  <si>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</si>
  <si>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</si>
  <si>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</si>
  <si>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</si>
  <si>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</si>
  <si>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</si>
  <si>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</si>
  <si>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</si>
  <si>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</si>
  <si>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</si>
  <si>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</si>
  <si>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</si>
  <si>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</si>
  <si>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</si>
  <si>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</si>
  <si>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</si>
  <si>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</si>
  <si>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</si>
  <si>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</si>
  <si>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</si>
  <si>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</si>
  <si>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</si>
  <si>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</si>
  <si>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</si>
  <si>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</si>
  <si>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</si>
  <si>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</si>
  <si>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</si>
  <si>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</si>
  <si>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</si>
  <si>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</si>
  <si>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</si>
  <si>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</si>
  <si>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</si>
  <si>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</si>
  <si>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</si>
  <si>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</si>
  <si>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</si>
  <si>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</si>
  <si>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</si>
  <si>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</si>
  <si>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</si>
  <si>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</si>
  <si>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</si>
  <si>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</si>
  <si>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</si>
  <si>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</si>
  <si>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</si>
  <si>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</si>
  <si>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</si>
  <si>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</si>
  <si>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</si>
  <si>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</si>
  <si>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</si>
  <si>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</si>
  <si>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</si>
  <si>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</si>
  <si>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</si>
  <si>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</si>
  <si>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</si>
  <si>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</si>
  <si>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</si>
  <si>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</si>
  <si>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</si>
  <si>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</si>
  <si>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</si>
  <si>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</si>
  <si>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</si>
  <si>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</si>
  <si>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</si>
  <si>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</si>
  <si>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</si>
  <si>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</si>
  <si>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</si>
  <si>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</si>
  <si>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</si>
  <si>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</si>
  <si>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</si>
  <si>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</si>
  <si>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</si>
  <si>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</si>
  <si>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</si>
  <si>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</si>
  <si>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</si>
  <si>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</si>
  <si>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</si>
  <si>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</si>
  <si>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</si>
  <si>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</si>
  <si>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</si>
  <si>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</si>
  <si>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</si>
  <si>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</si>
  <si>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</si>
  <si>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</si>
  <si>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</si>
  <si>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</si>
  <si>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</si>
  <si>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</si>
  <si>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</si>
  <si>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</si>
  <si>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</si>
  <si>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</si>
  <si>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</si>
  <si>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</si>
  <si>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</si>
  <si>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</si>
  <si>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</si>
  <si>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</si>
  <si>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</si>
  <si>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</si>
  <si>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</si>
  <si>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</si>
  <si>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</si>
  <si>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</si>
  <si>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</si>
  <si>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</si>
  <si>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</si>
  <si>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</si>
  <si>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</si>
  <si>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</si>
  <si>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</si>
  <si>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</si>
  <si>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</si>
  <si>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</si>
  <si>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</si>
  <si>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</si>
  <si>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</si>
  <si>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</si>
  <si>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</si>
  <si>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</si>
  <si>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</si>
  <si>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</si>
  <si>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</si>
  <si>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</si>
  <si>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</si>
  <si>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</si>
  <si>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</si>
  <si>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</si>
  <si>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</si>
  <si>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</si>
  <si>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</si>
  <si>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</si>
  <si>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</si>
  <si>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</si>
  <si>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</si>
  <si>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</si>
  <si>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</si>
  <si>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</si>
  <si>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</si>
  <si>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</si>
  <si>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</si>
  <si>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</si>
  <si>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</si>
  <si>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</si>
  <si>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</si>
  <si>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</si>
  <si>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</si>
  <si>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</si>
  <si>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</si>
  <si>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</si>
  <si>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</si>
  <si>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 xml:space="preserve">MUNICIPIO DE CÉU AZUL </t>
  </si>
  <si>
    <t xml:space="preserve">CÉU AZUL </t>
  </si>
  <si>
    <t xml:space="preserve">REFORMA E AMPLIAÇÃO DA ESCOLA OLAVO BILAC </t>
  </si>
  <si>
    <t>JOÃO YASUJI SAKAI</t>
  </si>
  <si>
    <t>27735/D</t>
  </si>
  <si>
    <t>GERMANO BONAMIGO</t>
  </si>
  <si>
    <t>PREFEITO</t>
  </si>
  <si>
    <t>ENGENHEIRO CIVIL</t>
  </si>
  <si>
    <t>21735/D</t>
  </si>
  <si>
    <t>SINAPI-I</t>
  </si>
  <si>
    <t>99059</t>
  </si>
  <si>
    <t>4813</t>
  </si>
  <si>
    <t>79480</t>
  </si>
  <si>
    <t>94964</t>
  </si>
  <si>
    <t>92760</t>
  </si>
  <si>
    <t>92762</t>
  </si>
  <si>
    <t>96622</t>
  </si>
  <si>
    <t>6189</t>
  </si>
  <si>
    <t>1115</t>
  </si>
  <si>
    <t>94227</t>
  </si>
  <si>
    <t>92586</t>
  </si>
  <si>
    <t>11587</t>
  </si>
  <si>
    <t>94210</t>
  </si>
  <si>
    <t>87700</t>
  </si>
  <si>
    <t>87871</t>
  </si>
  <si>
    <t>87888</t>
  </si>
  <si>
    <t>87532</t>
  </si>
  <si>
    <t>87777</t>
  </si>
  <si>
    <t>87266</t>
  </si>
  <si>
    <t>89171</t>
  </si>
  <si>
    <t>88417</t>
  </si>
  <si>
    <t>4828</t>
  </si>
  <si>
    <t>94569</t>
  </si>
  <si>
    <t>34378</t>
  </si>
  <si>
    <t>90822</t>
  </si>
  <si>
    <t>34713</t>
  </si>
  <si>
    <t>939</t>
  </si>
  <si>
    <t>944</t>
  </si>
  <si>
    <t>940</t>
  </si>
  <si>
    <t>38069</t>
  </si>
  <si>
    <t>91997</t>
  </si>
  <si>
    <t>91990</t>
  </si>
  <si>
    <t>39800</t>
  </si>
  <si>
    <t>12296</t>
  </si>
  <si>
    <t>38781</t>
  </si>
  <si>
    <t>91863</t>
  </si>
  <si>
    <t>90447</t>
  </si>
  <si>
    <t>2689</t>
  </si>
  <si>
    <t>93656</t>
  </si>
  <si>
    <t>89714</t>
  </si>
  <si>
    <t>9868</t>
  </si>
  <si>
    <t>89712</t>
  </si>
  <si>
    <t>83446</t>
  </si>
  <si>
    <t>10422</t>
  </si>
  <si>
    <t>89707</t>
  </si>
  <si>
    <t>89440</t>
  </si>
  <si>
    <t>89744</t>
  </si>
  <si>
    <t>89362</t>
  </si>
  <si>
    <t>86906</t>
  </si>
  <si>
    <t>89353</t>
  </si>
  <si>
    <t>89709</t>
  </si>
  <si>
    <t>1368</t>
  </si>
  <si>
    <t>11758</t>
  </si>
  <si>
    <t>34637</t>
  </si>
  <si>
    <t>36794</t>
  </si>
  <si>
    <t>20234</t>
  </si>
  <si>
    <t>87473</t>
  </si>
  <si>
    <t>92588</t>
  </si>
  <si>
    <t>88421</t>
  </si>
  <si>
    <t>94559</t>
  </si>
  <si>
    <t>34371</t>
  </si>
  <si>
    <t>99861</t>
  </si>
  <si>
    <t>100701</t>
  </si>
  <si>
    <t>11013</t>
  </si>
  <si>
    <t>88648</t>
  </si>
  <si>
    <t>38075</t>
  </si>
  <si>
    <t>34616</t>
  </si>
  <si>
    <t>94213</t>
  </si>
  <si>
    <t>21003</t>
  </si>
  <si>
    <t>97622</t>
  </si>
  <si>
    <t>87265</t>
  </si>
  <si>
    <t>11692</t>
  </si>
  <si>
    <t>36896</t>
  </si>
  <si>
    <t>98102</t>
  </si>
  <si>
    <t>002</t>
  </si>
  <si>
    <t>Cotação</t>
  </si>
  <si>
    <t>003</t>
  </si>
  <si>
    <t>001</t>
  </si>
  <si>
    <t>34377</t>
  </si>
  <si>
    <t>4987</t>
  </si>
  <si>
    <t>100867</t>
  </si>
  <si>
    <t>87508</t>
  </si>
  <si>
    <t>34357</t>
  </si>
  <si>
    <t>004</t>
  </si>
  <si>
    <t>87507</t>
  </si>
  <si>
    <t>005</t>
  </si>
  <si>
    <t>006</t>
  </si>
  <si>
    <t>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</si>
</sst>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60" t="str">
        <f>CHOOSE(MATCH(Objeto,{"PM","PO"}),"PLANILHA MÚLTIPLA ","PLANILHA ORÇAMENTÁRIA ")&amp; Versao</f>
        <v>PLANILHA MÚLTIPLA CÉU AZUL</v>
      </c>
      <c r="F2" s="660"/>
      <c r="G2" s="660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60"/>
      <c r="F3" s="660"/>
      <c r="G3" s="660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03-2020.xls.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F53" sqref="F53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444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1" t="s">
        <v>101</v>
      </c>
      <c r="F15" s="661"/>
      <c r="J15" s="15" t="s">
        <v>20</v>
      </c>
    </row>
    <row r="16" spans="5:44" x14ac:dyDescent="0.2">
      <c r="E16" s="32" t="s">
        <v>102</v>
      </c>
      <c r="F16" s="33" t="s">
        <v>445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43891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1" t="s">
        <v>106</v>
      </c>
      <c r="F21" s="661"/>
      <c r="J21" s="15"/>
    </row>
    <row r="22" spans="5:10" x14ac:dyDescent="0.2">
      <c r="E22" s="23" t="s">
        <v>107</v>
      </c>
      <c r="F22" s="41" t="s">
        <v>446</v>
      </c>
    </row>
    <row r="23" spans="5:10" x14ac:dyDescent="0.2">
      <c r="E23" s="25" t="s">
        <v>108</v>
      </c>
      <c r="F23" s="26" t="s">
        <v>447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43975</v>
      </c>
    </row>
    <row r="26" spans="5:10" x14ac:dyDescent="0.2">
      <c r="E26" s="39"/>
      <c r="F26" s="39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43" t="s">
        <v>448</v>
      </c>
    </row>
    <row r="29" spans="5:10" x14ac:dyDescent="0.2">
      <c r="E29" s="29" t="s">
        <v>112</v>
      </c>
      <c r="F29" s="44" t="s">
        <v>449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43979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50" t="s">
        <v>446</v>
      </c>
    </row>
    <row r="51" spans="5:6" x14ac:dyDescent="0.2">
      <c r="E51" s="25" t="s">
        <v>126</v>
      </c>
      <c r="F51" s="26" t="s">
        <v>450</v>
      </c>
    </row>
    <row r="52" spans="5:6" x14ac:dyDescent="0.2">
      <c r="E52" s="25" t="s">
        <v>127</v>
      </c>
      <c r="F52" s="26" t="s">
        <v>451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S27" sqref="S27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8" t="s">
        <v>139</v>
      </c>
      <c r="S1" s="688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9" t="s">
        <v>142</v>
      </c>
      <c r="S2" s="689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4" t="s">
        <v>440</v>
      </c>
      <c r="K4" s="684"/>
      <c r="L4" s="684" t="s">
        <v>441</v>
      </c>
      <c r="M4" s="684"/>
      <c r="N4" s="684" t="s">
        <v>146</v>
      </c>
      <c r="O4" s="684"/>
      <c r="P4" s="684"/>
      <c r="Q4" s="684"/>
      <c r="R4" s="684"/>
      <c r="S4" s="684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7">
        <f>Import.CR</f>
        <v>0</v>
      </c>
      <c r="K5" s="687"/>
      <c r="L5" s="687">
        <f>Import.SICONV</f>
        <v>0</v>
      </c>
      <c r="M5" s="687"/>
      <c r="N5" s="687" t="str">
        <f>Import.Proponente</f>
        <v xml:space="preserve">MUNICIPIO DE CÉU AZUL </v>
      </c>
      <c r="O5" s="687"/>
      <c r="P5" s="687"/>
      <c r="Q5" s="687"/>
      <c r="R5" s="687"/>
      <c r="S5" s="687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7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7"/>
      <c r="J7" s="684" t="s">
        <v>150</v>
      </c>
      <c r="K7" s="684"/>
      <c r="L7" s="684"/>
      <c r="M7" s="684"/>
      <c r="N7" s="684"/>
      <c r="O7" s="684"/>
      <c r="P7" s="684"/>
      <c r="Q7" s="684"/>
      <c r="R7" s="684"/>
      <c r="S7" s="684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7"/>
      <c r="J8" s="692" t="str">
        <f>Import.Apelido&amp;" / "&amp;Import.DescLote</f>
        <v xml:space="preserve">REFORMA E AMPLIAÇÃO DA ESCOLA OLAVO BILAC  / </v>
      </c>
      <c r="K8" s="692"/>
      <c r="L8" s="692"/>
      <c r="M8" s="692"/>
      <c r="N8" s="692"/>
      <c r="O8" s="692"/>
      <c r="P8" s="692"/>
      <c r="Q8" s="692"/>
      <c r="R8" s="692"/>
      <c r="S8" s="692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7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7"/>
      <c r="J10" s="693" t="s">
        <v>152</v>
      </c>
      <c r="K10" s="693"/>
      <c r="L10" s="693"/>
      <c r="M10" s="693"/>
      <c r="N10" s="693"/>
      <c r="O10" s="693"/>
      <c r="P10" s="693"/>
      <c r="Q10" s="693"/>
      <c r="R10" s="691">
        <v>1</v>
      </c>
      <c r="S10" s="691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90" t="s">
        <v>153</v>
      </c>
      <c r="K11" s="690"/>
      <c r="L11" s="690"/>
      <c r="M11" s="690"/>
      <c r="N11" s="690"/>
      <c r="O11" s="690"/>
      <c r="P11" s="690"/>
      <c r="Q11" s="690"/>
      <c r="R11" s="691">
        <v>0.04</v>
      </c>
      <c r="S11" s="691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6" t="s">
        <v>155</v>
      </c>
      <c r="K14" s="686"/>
      <c r="L14" s="686"/>
      <c r="M14" s="686"/>
      <c r="N14" s="686"/>
      <c r="O14" s="686"/>
      <c r="P14" s="686"/>
      <c r="Q14" s="686"/>
      <c r="R14" s="686"/>
      <c r="S14" s="686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4" t="s">
        <v>156</v>
      </c>
      <c r="K16" s="684"/>
      <c r="L16" s="684"/>
      <c r="M16" s="684"/>
      <c r="N16" s="684"/>
      <c r="O16" s="684"/>
      <c r="P16" s="684"/>
      <c r="Q16" s="684"/>
      <c r="R16" s="684"/>
      <c r="S16" s="684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5" t="s">
        <v>408</v>
      </c>
      <c r="K17" s="685"/>
      <c r="L17" s="685"/>
      <c r="M17" s="685"/>
      <c r="N17" s="685"/>
      <c r="O17" s="685"/>
      <c r="P17" s="685"/>
      <c r="Q17" s="685"/>
      <c r="R17" s="685"/>
      <c r="S17" s="685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3" t="s">
        <v>157</v>
      </c>
      <c r="K19" s="683"/>
      <c r="L19" s="683"/>
      <c r="M19" s="683"/>
      <c r="N19" s="683"/>
      <c r="O19" s="683"/>
      <c r="P19" s="683"/>
      <c r="Q19" s="683"/>
      <c r="R19" s="683" t="s">
        <v>158</v>
      </c>
      <c r="S19" s="674" t="s">
        <v>159</v>
      </c>
      <c r="U19" s="674" t="s">
        <v>160</v>
      </c>
      <c r="V19" s="674"/>
      <c r="W19" s="674"/>
      <c r="X19" s="682" t="s">
        <v>161</v>
      </c>
      <c r="Y19" s="682" t="s">
        <v>162</v>
      </c>
      <c r="Z19" s="682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3"/>
      <c r="K20" s="683"/>
      <c r="L20" s="683"/>
      <c r="M20" s="683"/>
      <c r="N20" s="683"/>
      <c r="O20" s="683"/>
      <c r="P20" s="683"/>
      <c r="Q20" s="683"/>
      <c r="R20" s="683"/>
      <c r="S20" s="674"/>
      <c r="U20" s="674"/>
      <c r="V20" s="674"/>
      <c r="W20" s="674"/>
      <c r="X20" s="682"/>
      <c r="Y20" s="682"/>
      <c r="Z20" s="682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2" t="str">
        <f>IF($J$17=$A$146,"Encargos Sociais incidentes sobre a mão de obra","Administração Central")</f>
        <v>Administração Central</v>
      </c>
      <c r="K21" s="672"/>
      <c r="L21" s="672"/>
      <c r="M21" s="672"/>
      <c r="N21" s="672"/>
      <c r="O21" s="672"/>
      <c r="P21" s="672"/>
      <c r="Q21" s="672"/>
      <c r="R21" s="77" t="str">
        <f>IF($J17=$A$146,"K1","AC")</f>
        <v>AC</v>
      </c>
      <c r="S21" s="78">
        <v>0.03</v>
      </c>
      <c r="U21" s="673" t="s">
        <v>165</v>
      </c>
      <c r="V21" s="673"/>
      <c r="W21" s="673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2" t="str">
        <f>IF($J$17=$A$146,"Administração Central da empresa ou consultoria - overhead","Seguro e Garantia")</f>
        <v>Seguro e Garantia</v>
      </c>
      <c r="K22" s="672"/>
      <c r="L22" s="672"/>
      <c r="M22" s="672"/>
      <c r="N22" s="672"/>
      <c r="O22" s="672"/>
      <c r="P22" s="672"/>
      <c r="Q22" s="672"/>
      <c r="R22" s="77" t="str">
        <f>IF($J17=$A$146,"K2","SG")</f>
        <v>SG</v>
      </c>
      <c r="S22" s="78">
        <v>8.0000000000000002E-3</v>
      </c>
      <c r="U22" s="673" t="s">
        <v>165</v>
      </c>
      <c r="V22" s="673"/>
      <c r="W22" s="673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2" t="str">
        <f>IF($J$17=$A$146,"","Risco")</f>
        <v>Risco</v>
      </c>
      <c r="K23" s="672"/>
      <c r="L23" s="672"/>
      <c r="M23" s="672"/>
      <c r="N23" s="672"/>
      <c r="O23" s="672"/>
      <c r="P23" s="672"/>
      <c r="Q23" s="672"/>
      <c r="R23" s="77" t="str">
        <f>IF($J17=$A$146,"","R")</f>
        <v>R</v>
      </c>
      <c r="S23" s="78">
        <v>9.7000000000000003E-3</v>
      </c>
      <c r="U23" s="673" t="s">
        <v>165</v>
      </c>
      <c r="V23" s="673"/>
      <c r="W23" s="673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2" t="str">
        <f>IF($J$17=$A$146,"","Despesas Financeiras")</f>
        <v>Despesas Financeiras</v>
      </c>
      <c r="K24" s="672"/>
      <c r="L24" s="672"/>
      <c r="M24" s="672"/>
      <c r="N24" s="672"/>
      <c r="O24" s="672"/>
      <c r="P24" s="672"/>
      <c r="Q24" s="672"/>
      <c r="R24" s="77" t="str">
        <f>IF($J17=$A$146,"","DF")</f>
        <v>DF</v>
      </c>
      <c r="S24" s="78">
        <v>5.8999999999999999E-3</v>
      </c>
      <c r="U24" s="673" t="s">
        <v>165</v>
      </c>
      <c r="V24" s="673"/>
      <c r="W24" s="673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2" t="str">
        <f>IF($J$17=$A$146,"Margem bruta da empresa de consultoria","Lucro")</f>
        <v>Lucro</v>
      </c>
      <c r="K25" s="672"/>
      <c r="L25" s="672"/>
      <c r="M25" s="672"/>
      <c r="N25" s="672"/>
      <c r="O25" s="672"/>
      <c r="P25" s="672"/>
      <c r="Q25" s="672"/>
      <c r="R25" s="77" t="str">
        <f>IF($J17=$A$146,"K3","L")</f>
        <v>L</v>
      </c>
      <c r="S25" s="78">
        <v>6.1600000000000002E-2</v>
      </c>
      <c r="U25" s="673" t="s">
        <v>165</v>
      </c>
      <c r="V25" s="673"/>
      <c r="W25" s="673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2" t="s">
        <v>167</v>
      </c>
      <c r="K26" s="672"/>
      <c r="L26" s="672"/>
      <c r="M26" s="672"/>
      <c r="N26" s="672"/>
      <c r="O26" s="672"/>
      <c r="P26" s="672"/>
      <c r="Q26" s="672"/>
      <c r="R26" s="77" t="s">
        <v>168</v>
      </c>
      <c r="S26" s="78">
        <v>3.6499999999999998E-2</v>
      </c>
      <c r="U26" s="673" t="s">
        <v>165</v>
      </c>
      <c r="V26" s="673"/>
      <c r="W26" s="673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2" t="s">
        <v>169</v>
      </c>
      <c r="K27" s="672"/>
      <c r="L27" s="672"/>
      <c r="M27" s="672"/>
      <c r="N27" s="672"/>
      <c r="O27" s="672"/>
      <c r="P27" s="672"/>
      <c r="Q27" s="672"/>
      <c r="R27" s="77" t="s">
        <v>170</v>
      </c>
      <c r="S27" s="79">
        <f ca="1">IF(AND($J17&lt;&gt;$A$145,COUNTA(OFFSET(S20,1,0,6))&gt;0),$R$11*$R$10,0)</f>
        <v>0.04</v>
      </c>
      <c r="U27" s="673" t="s">
        <v>165</v>
      </c>
      <c r="V27" s="673"/>
      <c r="W27" s="673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2" t="s">
        <v>171</v>
      </c>
      <c r="K28" s="672"/>
      <c r="L28" s="672"/>
      <c r="M28" s="672"/>
      <c r="N28" s="672"/>
      <c r="O28" s="672"/>
      <c r="P28" s="672"/>
      <c r="Q28" s="672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3" t="s">
        <v>165</v>
      </c>
      <c r="V28" s="673"/>
      <c r="W28" s="673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2" t="s">
        <v>173</v>
      </c>
      <c r="K29" s="672"/>
      <c r="L29" s="672"/>
      <c r="M29" s="672"/>
      <c r="N29" s="672"/>
      <c r="O29" s="672"/>
      <c r="P29" s="672"/>
      <c r="Q29" s="672"/>
      <c r="R29" s="81" t="s">
        <v>149</v>
      </c>
      <c r="S29" s="79">
        <f ca="1">IF($J17=$A$145,0,ROUND((((1+S21+S22+S23)*(1+S24)*(1+S25)/(1-(S26+S27)))-1),4))</f>
        <v>0.21149999999999999</v>
      </c>
      <c r="U29" s="674" t="e">
        <f ca="1">IF(OR($J$17=$A$146,$J$17=$A$145,AND(S29&gt;=X29,S29&lt;=Z29)),"OK","FORA DO INTERVALO")</f>
        <v>#N/A</v>
      </c>
      <c r="V29" s="674"/>
      <c r="W29" s="674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5" t="s">
        <v>174</v>
      </c>
      <c r="K30" s="675"/>
      <c r="L30" s="675"/>
      <c r="M30" s="675"/>
      <c r="N30" s="675"/>
      <c r="O30" s="675"/>
      <c r="P30" s="675"/>
      <c r="Q30" s="675"/>
      <c r="R30" s="82" t="s">
        <v>175</v>
      </c>
      <c r="S30" s="83">
        <f ca="1">IF($J17=$A$145,0,ROUND((((1+S21+S22+S23)*(1+S24)*(1+S25)/(1-(S26+S27+S28)))-1),4))</f>
        <v>0.27350000000000002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6" t="e">
        <f ca="1">IF(U29&lt;&gt;"ok","Anexo: Relatório Técnico Circunstanciado justificando a adoção do percentual de cada parcela do BDI.","")</f>
        <v>#N/A</v>
      </c>
      <c r="L32" s="676"/>
      <c r="M32" s="676"/>
      <c r="N32" s="676"/>
      <c r="O32" s="676"/>
      <c r="P32" s="676"/>
      <c r="Q32" s="676"/>
      <c r="R32" s="676"/>
      <c r="S32" s="676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8" t="s">
        <v>177</v>
      </c>
      <c r="K34" s="678"/>
      <c r="L34" s="678"/>
      <c r="M34" s="678"/>
      <c r="N34" s="678"/>
      <c r="O34" s="678"/>
      <c r="P34" s="678"/>
      <c r="Q34" s="678"/>
      <c r="R34" s="678"/>
      <c r="S34" s="678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9" t="s">
        <v>178</v>
      </c>
      <c r="N35" s="680" t="str">
        <f>IF($J17=$A$146,"(1+K1+K2)*(1+K3)","(1+AC + S + R + G)*(1 + DF)*(1+L)")</f>
        <v>(1+AC + S + R + G)*(1 + DF)*(1+L)</v>
      </c>
      <c r="O35" s="680"/>
      <c r="P35" s="680"/>
      <c r="Q35" s="681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9"/>
      <c r="N36" s="671" t="s">
        <v>180</v>
      </c>
      <c r="O36" s="671"/>
      <c r="P36" s="671"/>
      <c r="Q36" s="681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6"/>
      <c r="K43" s="666"/>
      <c r="L43" s="666"/>
      <c r="M43" s="666"/>
      <c r="N43" s="666"/>
      <c r="O43" s="666"/>
      <c r="P43" s="666"/>
      <c r="Q43" s="666"/>
      <c r="R43" s="666"/>
      <c r="S43" s="666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7" t="str">
        <f>Import.Município</f>
        <v xml:space="preserve">CÉU AZUL </v>
      </c>
      <c r="K45" s="667"/>
      <c r="L45" s="667"/>
      <c r="M45" s="667"/>
      <c r="P45" s="668">
        <f>DADOS!$F$25</f>
        <v>43975</v>
      </c>
      <c r="Q45" s="668"/>
      <c r="R45" s="668"/>
      <c r="S45" s="668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9" t="s">
        <v>187</v>
      </c>
      <c r="K46" s="669"/>
      <c r="L46" s="669"/>
      <c r="M46" s="669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70"/>
      <c r="K48" s="670"/>
      <c r="L48" s="670"/>
      <c r="M48" s="670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4" t="s">
        <v>189</v>
      </c>
      <c r="K49" s="664"/>
      <c r="L49" s="664"/>
      <c r="M49" s="66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27735/D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6" t="s">
        <v>190</v>
      </c>
      <c r="K54" s="686"/>
      <c r="L54" s="686"/>
      <c r="M54" s="686"/>
      <c r="N54" s="686"/>
      <c r="O54" s="686"/>
      <c r="P54" s="686"/>
      <c r="Q54" s="686"/>
      <c r="R54" s="686"/>
      <c r="S54" s="68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4" t="s">
        <v>156</v>
      </c>
      <c r="K56" s="684"/>
      <c r="L56" s="684"/>
      <c r="M56" s="684"/>
      <c r="N56" s="684"/>
      <c r="O56" s="684"/>
      <c r="P56" s="684"/>
      <c r="Q56" s="684"/>
      <c r="R56" s="684"/>
      <c r="S56" s="684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5" t="s">
        <v>408</v>
      </c>
      <c r="K57" s="685"/>
      <c r="L57" s="685"/>
      <c r="M57" s="685"/>
      <c r="N57" s="685"/>
      <c r="O57" s="685"/>
      <c r="P57" s="685"/>
      <c r="Q57" s="685"/>
      <c r="R57" s="685"/>
      <c r="S57" s="685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3" t="s">
        <v>157</v>
      </c>
      <c r="K59" s="683"/>
      <c r="L59" s="683"/>
      <c r="M59" s="683"/>
      <c r="N59" s="683"/>
      <c r="O59" s="683"/>
      <c r="P59" s="683"/>
      <c r="Q59" s="683"/>
      <c r="R59" s="683" t="s">
        <v>158</v>
      </c>
      <c r="S59" s="674" t="s">
        <v>159</v>
      </c>
      <c r="U59" s="674" t="s">
        <v>160</v>
      </c>
      <c r="V59" s="674"/>
      <c r="W59" s="674"/>
      <c r="X59" s="682" t="s">
        <v>161</v>
      </c>
      <c r="Y59" s="682" t="s">
        <v>162</v>
      </c>
      <c r="Z59" s="68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3"/>
      <c r="K60" s="683"/>
      <c r="L60" s="683"/>
      <c r="M60" s="683"/>
      <c r="N60" s="683"/>
      <c r="O60" s="683"/>
      <c r="P60" s="683"/>
      <c r="Q60" s="683"/>
      <c r="R60" s="683"/>
      <c r="S60" s="674"/>
      <c r="U60" s="674"/>
      <c r="V60" s="674"/>
      <c r="W60" s="674"/>
      <c r="X60" s="682"/>
      <c r="Y60" s="682"/>
      <c r="Z60" s="68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2" t="str">
        <f>IF($J$17=$A$146,"Encargos Sociais incidentes sobre a mão de obra","Administração Central")</f>
        <v>Administração Central</v>
      </c>
      <c r="K61" s="672"/>
      <c r="L61" s="672"/>
      <c r="M61" s="672"/>
      <c r="N61" s="672"/>
      <c r="O61" s="672"/>
      <c r="P61" s="672"/>
      <c r="Q61" s="672"/>
      <c r="R61" s="77" t="str">
        <f>IF($J57=$A$146,"K1","AC")</f>
        <v>AC</v>
      </c>
      <c r="S61" s="78"/>
      <c r="U61" s="673" t="s">
        <v>165</v>
      </c>
      <c r="V61" s="673"/>
      <c r="W61" s="673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2" t="str">
        <f>IF($J$17=$A$146,"Administração Central da empresa ou consultoria - overhead","Seguro e Garantia")</f>
        <v>Seguro e Garantia</v>
      </c>
      <c r="K62" s="672"/>
      <c r="L62" s="672"/>
      <c r="M62" s="672"/>
      <c r="N62" s="672"/>
      <c r="O62" s="672"/>
      <c r="P62" s="672"/>
      <c r="Q62" s="672"/>
      <c r="R62" s="77" t="str">
        <f>IF($J57=$A$146,"K2","SG")</f>
        <v>SG</v>
      </c>
      <c r="S62" s="78"/>
      <c r="U62" s="673" t="s">
        <v>165</v>
      </c>
      <c r="V62" s="673"/>
      <c r="W62" s="673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2" t="str">
        <f>IF($J$17=$A$146,"","Risco")</f>
        <v>Risco</v>
      </c>
      <c r="K63" s="672"/>
      <c r="L63" s="672"/>
      <c r="M63" s="672"/>
      <c r="N63" s="672"/>
      <c r="O63" s="672"/>
      <c r="P63" s="672"/>
      <c r="Q63" s="672"/>
      <c r="R63" s="77" t="str">
        <f>IF($J57=$A$146,"","R")</f>
        <v>R</v>
      </c>
      <c r="S63" s="78"/>
      <c r="U63" s="673" t="s">
        <v>165</v>
      </c>
      <c r="V63" s="673"/>
      <c r="W63" s="673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2" t="str">
        <f>IF($J$17=$A$146,"","Despesas Financeiras")</f>
        <v>Despesas Financeiras</v>
      </c>
      <c r="K64" s="672"/>
      <c r="L64" s="672"/>
      <c r="M64" s="672"/>
      <c r="N64" s="672"/>
      <c r="O64" s="672"/>
      <c r="P64" s="672"/>
      <c r="Q64" s="672"/>
      <c r="R64" s="77" t="str">
        <f>IF($J57=$A$146,"","DF")</f>
        <v>DF</v>
      </c>
      <c r="S64" s="78"/>
      <c r="U64" s="673" t="s">
        <v>165</v>
      </c>
      <c r="V64" s="673"/>
      <c r="W64" s="673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2" t="str">
        <f>IF($J$17=$A$146,"Margem bruta da empresa de consultoria","Lucro")</f>
        <v>Lucro</v>
      </c>
      <c r="K65" s="672"/>
      <c r="L65" s="672"/>
      <c r="M65" s="672"/>
      <c r="N65" s="672"/>
      <c r="O65" s="672"/>
      <c r="P65" s="672"/>
      <c r="Q65" s="672"/>
      <c r="R65" s="77" t="str">
        <f>IF($J57=$A$146,"K3","L")</f>
        <v>L</v>
      </c>
      <c r="S65" s="78"/>
      <c r="U65" s="673" t="s">
        <v>165</v>
      </c>
      <c r="V65" s="673"/>
      <c r="W65" s="673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2" t="s">
        <v>167</v>
      </c>
      <c r="K66" s="672"/>
      <c r="L66" s="672"/>
      <c r="M66" s="672"/>
      <c r="N66" s="672"/>
      <c r="O66" s="672"/>
      <c r="P66" s="672"/>
      <c r="Q66" s="672"/>
      <c r="R66" s="77" t="s">
        <v>168</v>
      </c>
      <c r="S66" s="78"/>
      <c r="U66" s="673" t="s">
        <v>165</v>
      </c>
      <c r="V66" s="673"/>
      <c r="W66" s="673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2" t="s">
        <v>169</v>
      </c>
      <c r="K67" s="672"/>
      <c r="L67" s="672"/>
      <c r="M67" s="672"/>
      <c r="N67" s="672"/>
      <c r="O67" s="672"/>
      <c r="P67" s="672"/>
      <c r="Q67" s="672"/>
      <c r="R67" s="77" t="s">
        <v>170</v>
      </c>
      <c r="S67" s="79">
        <f ca="1">IF(AND($J57&lt;&gt;$A$145,COUNTA(OFFSET(S60,1,0,6))&gt;0),$R$11*$R$10,0)</f>
        <v>0</v>
      </c>
      <c r="U67" s="673" t="s">
        <v>165</v>
      </c>
      <c r="V67" s="673"/>
      <c r="W67" s="673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2" t="s">
        <v>171</v>
      </c>
      <c r="K68" s="672"/>
      <c r="L68" s="672"/>
      <c r="M68" s="672"/>
      <c r="N68" s="672"/>
      <c r="O68" s="672"/>
      <c r="P68" s="672"/>
      <c r="Q68" s="672"/>
      <c r="R68" s="77" t="s">
        <v>172</v>
      </c>
      <c r="S68" s="79">
        <f ca="1">IF(BDI.Opcao&lt;&gt;"Desonerado",0,IF(AND($J57&lt;&gt;$A$145,COUNTA(OFFSET(S60,1,0,6))&gt;0),4.5%,0%))</f>
        <v>0</v>
      </c>
      <c r="U68" s="673" t="s">
        <v>165</v>
      </c>
      <c r="V68" s="673"/>
      <c r="W68" s="673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2" t="s">
        <v>173</v>
      </c>
      <c r="K69" s="672"/>
      <c r="L69" s="672"/>
      <c r="M69" s="672"/>
      <c r="N69" s="672"/>
      <c r="O69" s="672"/>
      <c r="P69" s="672"/>
      <c r="Q69" s="672"/>
      <c r="R69" s="81" t="s">
        <v>149</v>
      </c>
      <c r="S69" s="79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5" t="s">
        <v>174</v>
      </c>
      <c r="K70" s="675"/>
      <c r="L70" s="675"/>
      <c r="M70" s="675"/>
      <c r="N70" s="675"/>
      <c r="O70" s="675"/>
      <c r="P70" s="675"/>
      <c r="Q70" s="675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6" t="e">
        <f ca="1">IF(U69&lt;&gt;"ok","Anexo: Relatório Técnico Circunstanciado justificando a adoção do percentual de cada parcela do BDI.","")</f>
        <v>#N/A</v>
      </c>
      <c r="L72" s="676"/>
      <c r="M72" s="676"/>
      <c r="N72" s="676"/>
      <c r="O72" s="676"/>
      <c r="P72" s="676"/>
      <c r="Q72" s="676"/>
      <c r="R72" s="676"/>
      <c r="S72" s="676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8" t="s">
        <v>177</v>
      </c>
      <c r="K74" s="678"/>
      <c r="L74" s="678"/>
      <c r="M74" s="678"/>
      <c r="N74" s="678"/>
      <c r="O74" s="678"/>
      <c r="P74" s="678"/>
      <c r="Q74" s="678"/>
      <c r="R74" s="678"/>
      <c r="S74" s="678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9" t="s">
        <v>178</v>
      </c>
      <c r="N75" s="680" t="str">
        <f>IF($J57=$A$146,"(1+K1+K2)*(1+K3)","(1+AC + S + R + G)*(1 + DF)*(1+L)")</f>
        <v>(1+AC + S + R + G)*(1 + DF)*(1+L)</v>
      </c>
      <c r="O75" s="680"/>
      <c r="P75" s="680"/>
      <c r="Q75" s="681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9"/>
      <c r="N76" s="671" t="s">
        <v>180</v>
      </c>
      <c r="O76" s="671"/>
      <c r="P76" s="671"/>
      <c r="Q76" s="681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5"/>
      <c r="L80" s="665"/>
      <c r="M80" s="665"/>
      <c r="N80" s="665"/>
      <c r="O80" s="665"/>
      <c r="P80" s="665"/>
      <c r="Q80" s="665"/>
      <c r="R80" s="665"/>
      <c r="S80" s="665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6"/>
      <c r="K83" s="666"/>
      <c r="L83" s="666"/>
      <c r="M83" s="666"/>
      <c r="N83" s="666"/>
      <c r="O83" s="666"/>
      <c r="P83" s="666"/>
      <c r="Q83" s="666"/>
      <c r="R83" s="666"/>
      <c r="S83" s="666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7" t="str">
        <f>Import.Município</f>
        <v xml:space="preserve">CÉU AZUL </v>
      </c>
      <c r="K85" s="667"/>
      <c r="L85" s="667"/>
      <c r="M85" s="667"/>
      <c r="P85" s="668">
        <f>DADOS!$F$25</f>
        <v>43975</v>
      </c>
      <c r="Q85" s="668"/>
      <c r="R85" s="668"/>
      <c r="S85" s="668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9" t="s">
        <v>187</v>
      </c>
      <c r="K86" s="669"/>
      <c r="L86" s="669"/>
      <c r="M86" s="669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0"/>
      <c r="K88" s="670"/>
      <c r="L88" s="670"/>
      <c r="M88" s="670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4" t="s">
        <v>189</v>
      </c>
      <c r="K89" s="664"/>
      <c r="L89" s="664"/>
      <c r="M89" s="66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27735/D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6" t="s">
        <v>191</v>
      </c>
      <c r="K94" s="686"/>
      <c r="L94" s="686"/>
      <c r="M94" s="686"/>
      <c r="N94" s="686"/>
      <c r="O94" s="686"/>
      <c r="P94" s="686"/>
      <c r="Q94" s="686"/>
      <c r="R94" s="686"/>
      <c r="S94" s="68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4" t="s">
        <v>156</v>
      </c>
      <c r="K96" s="684"/>
      <c r="L96" s="684"/>
      <c r="M96" s="684"/>
      <c r="N96" s="684"/>
      <c r="O96" s="684"/>
      <c r="P96" s="684"/>
      <c r="Q96" s="684"/>
      <c r="R96" s="684"/>
      <c r="S96" s="684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5" t="s">
        <v>408</v>
      </c>
      <c r="K97" s="685"/>
      <c r="L97" s="685"/>
      <c r="M97" s="685"/>
      <c r="N97" s="685"/>
      <c r="O97" s="685"/>
      <c r="P97" s="685"/>
      <c r="Q97" s="685"/>
      <c r="R97" s="685"/>
      <c r="S97" s="685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3" t="s">
        <v>157</v>
      </c>
      <c r="K99" s="683"/>
      <c r="L99" s="683"/>
      <c r="M99" s="683"/>
      <c r="N99" s="683"/>
      <c r="O99" s="683"/>
      <c r="P99" s="683"/>
      <c r="Q99" s="683"/>
      <c r="R99" s="683" t="s">
        <v>158</v>
      </c>
      <c r="S99" s="674" t="s">
        <v>159</v>
      </c>
      <c r="U99" s="674" t="s">
        <v>160</v>
      </c>
      <c r="V99" s="674"/>
      <c r="W99" s="674"/>
      <c r="X99" s="682" t="s">
        <v>161</v>
      </c>
      <c r="Y99" s="682" t="s">
        <v>162</v>
      </c>
      <c r="Z99" s="68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3"/>
      <c r="K100" s="683"/>
      <c r="L100" s="683"/>
      <c r="M100" s="683"/>
      <c r="N100" s="683"/>
      <c r="O100" s="683"/>
      <c r="P100" s="683"/>
      <c r="Q100" s="683"/>
      <c r="R100" s="683"/>
      <c r="S100" s="674"/>
      <c r="U100" s="674"/>
      <c r="V100" s="674"/>
      <c r="W100" s="674"/>
      <c r="X100" s="682"/>
      <c r="Y100" s="682"/>
      <c r="Z100" s="68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2" t="str">
        <f>IF($J$17=$A$146,"Encargos Sociais incidentes sobre a mão de obra","Administração Central")</f>
        <v>Administração Central</v>
      </c>
      <c r="K101" s="672"/>
      <c r="L101" s="672"/>
      <c r="M101" s="672"/>
      <c r="N101" s="672"/>
      <c r="O101" s="672"/>
      <c r="P101" s="672"/>
      <c r="Q101" s="672"/>
      <c r="R101" s="77" t="str">
        <f>IF($J97=$A$146,"K1","AC")</f>
        <v>AC</v>
      </c>
      <c r="S101" s="78"/>
      <c r="U101" s="673" t="s">
        <v>165</v>
      </c>
      <c r="V101" s="673"/>
      <c r="W101" s="673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2" t="str">
        <f>IF($J$17=$A$146,"Administração Central da empresa ou consultoria - overhead","Seguro e Garantia")</f>
        <v>Seguro e Garantia</v>
      </c>
      <c r="K102" s="672"/>
      <c r="L102" s="672"/>
      <c r="M102" s="672"/>
      <c r="N102" s="672"/>
      <c r="O102" s="672"/>
      <c r="P102" s="672"/>
      <c r="Q102" s="672"/>
      <c r="R102" s="77" t="str">
        <f>IF($J97=$A$146,"K2","SG")</f>
        <v>SG</v>
      </c>
      <c r="S102" s="78"/>
      <c r="U102" s="673" t="s">
        <v>165</v>
      </c>
      <c r="V102" s="673"/>
      <c r="W102" s="673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2" t="str">
        <f>IF($J$17=$A$146,"","Risco")</f>
        <v>Risco</v>
      </c>
      <c r="K103" s="672"/>
      <c r="L103" s="672"/>
      <c r="M103" s="672"/>
      <c r="N103" s="672"/>
      <c r="O103" s="672"/>
      <c r="P103" s="672"/>
      <c r="Q103" s="672"/>
      <c r="R103" s="77" t="str">
        <f>IF($J97=$A$146,"","R")</f>
        <v>R</v>
      </c>
      <c r="S103" s="78"/>
      <c r="U103" s="673" t="s">
        <v>165</v>
      </c>
      <c r="V103" s="673"/>
      <c r="W103" s="673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2" t="str">
        <f>IF($J$17=$A$146,"","Despesas Financeiras")</f>
        <v>Despesas Financeiras</v>
      </c>
      <c r="K104" s="672"/>
      <c r="L104" s="672"/>
      <c r="M104" s="672"/>
      <c r="N104" s="672"/>
      <c r="O104" s="672"/>
      <c r="P104" s="672"/>
      <c r="Q104" s="672"/>
      <c r="R104" s="77" t="str">
        <f>IF($J97=$A$146,"","DF")</f>
        <v>DF</v>
      </c>
      <c r="S104" s="78"/>
      <c r="U104" s="673" t="s">
        <v>165</v>
      </c>
      <c r="V104" s="673"/>
      <c r="W104" s="673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2" t="str">
        <f>IF($J$17=$A$146,"Margem bruta da empresa de consultoria","Lucro")</f>
        <v>Lucro</v>
      </c>
      <c r="K105" s="672"/>
      <c r="L105" s="672"/>
      <c r="M105" s="672"/>
      <c r="N105" s="672"/>
      <c r="O105" s="672"/>
      <c r="P105" s="672"/>
      <c r="Q105" s="672"/>
      <c r="R105" s="77" t="str">
        <f>IF($J97=$A$146,"K3","L")</f>
        <v>L</v>
      </c>
      <c r="S105" s="78"/>
      <c r="U105" s="673" t="s">
        <v>165</v>
      </c>
      <c r="V105" s="673"/>
      <c r="W105" s="673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2" t="s">
        <v>167</v>
      </c>
      <c r="K106" s="672"/>
      <c r="L106" s="672"/>
      <c r="M106" s="672"/>
      <c r="N106" s="672"/>
      <c r="O106" s="672"/>
      <c r="P106" s="672"/>
      <c r="Q106" s="672"/>
      <c r="R106" s="77" t="s">
        <v>168</v>
      </c>
      <c r="S106" s="78"/>
      <c r="U106" s="673" t="s">
        <v>165</v>
      </c>
      <c r="V106" s="673"/>
      <c r="W106" s="673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2" t="s">
        <v>169</v>
      </c>
      <c r="K107" s="672"/>
      <c r="L107" s="672"/>
      <c r="M107" s="672"/>
      <c r="N107" s="672"/>
      <c r="O107" s="672"/>
      <c r="P107" s="672"/>
      <c r="Q107" s="672"/>
      <c r="R107" s="77" t="s">
        <v>170</v>
      </c>
      <c r="S107" s="79">
        <f ca="1">IF(AND($J97&lt;&gt;$A$145,COUNTA(OFFSET(S100,1,0,6))&gt;0),$R$11*$R$10,0)</f>
        <v>0</v>
      </c>
      <c r="U107" s="673" t="s">
        <v>165</v>
      </c>
      <c r="V107" s="673"/>
      <c r="W107" s="673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2" t="s">
        <v>171</v>
      </c>
      <c r="K108" s="672"/>
      <c r="L108" s="672"/>
      <c r="M108" s="672"/>
      <c r="N108" s="672"/>
      <c r="O108" s="672"/>
      <c r="P108" s="672"/>
      <c r="Q108" s="672"/>
      <c r="R108" s="77" t="s">
        <v>172</v>
      </c>
      <c r="S108" s="79">
        <f ca="1">IF(BDI.Opcao&lt;&gt;"Desonerado",0,IF(AND($J97&lt;&gt;$A$145,COUNTA(OFFSET(S100,1,0,6))&gt;0),4.5%,0%))</f>
        <v>0</v>
      </c>
      <c r="U108" s="673" t="s">
        <v>165</v>
      </c>
      <c r="V108" s="673"/>
      <c r="W108" s="673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2" t="s">
        <v>173</v>
      </c>
      <c r="K109" s="672"/>
      <c r="L109" s="672"/>
      <c r="M109" s="672"/>
      <c r="N109" s="672"/>
      <c r="O109" s="672"/>
      <c r="P109" s="672"/>
      <c r="Q109" s="672"/>
      <c r="R109" s="81" t="s">
        <v>149</v>
      </c>
      <c r="S109" s="79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5" t="s">
        <v>174</v>
      </c>
      <c r="K110" s="675"/>
      <c r="L110" s="675"/>
      <c r="M110" s="675"/>
      <c r="N110" s="675"/>
      <c r="O110" s="675"/>
      <c r="P110" s="675"/>
      <c r="Q110" s="675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6" t="e">
        <f ca="1">IF(U109&lt;&gt;"ok","Anexo: Relatório Técnico Circunstanciado justificando a adoção do percentual de cada parcela do BDI.","")</f>
        <v>#N/A</v>
      </c>
      <c r="L112" s="676"/>
      <c r="M112" s="676"/>
      <c r="N112" s="676"/>
      <c r="O112" s="676"/>
      <c r="P112" s="676"/>
      <c r="Q112" s="676"/>
      <c r="R112" s="676"/>
      <c r="S112" s="676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8" t="s">
        <v>177</v>
      </c>
      <c r="K114" s="678"/>
      <c r="L114" s="678"/>
      <c r="M114" s="678"/>
      <c r="N114" s="678"/>
      <c r="O114" s="678"/>
      <c r="P114" s="678"/>
      <c r="Q114" s="678"/>
      <c r="R114" s="678"/>
      <c r="S114" s="678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9" t="s">
        <v>178</v>
      </c>
      <c r="N115" s="680" t="str">
        <f>IF($J97=$A$146,"(1+K1+K2)*(1+K3)","(1+AC + S + R + G)*(1 + DF)*(1+L)")</f>
        <v>(1+AC + S + R + G)*(1 + DF)*(1+L)</v>
      </c>
      <c r="O115" s="680"/>
      <c r="P115" s="680"/>
      <c r="Q115" s="681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9"/>
      <c r="N116" s="671" t="s">
        <v>180</v>
      </c>
      <c r="O116" s="671"/>
      <c r="P116" s="671"/>
      <c r="Q116" s="681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5"/>
      <c r="L118" s="665"/>
      <c r="M118" s="665"/>
      <c r="N118" s="665"/>
      <c r="O118" s="665"/>
      <c r="P118" s="665"/>
      <c r="Q118" s="665"/>
      <c r="R118" s="665"/>
      <c r="S118" s="665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7" t="str">
        <f>Import.Município</f>
        <v xml:space="preserve">CÉU AZUL </v>
      </c>
      <c r="K125" s="667"/>
      <c r="L125" s="667"/>
      <c r="M125" s="667"/>
      <c r="P125" s="668">
        <f>DADOS!$F$25</f>
        <v>43975</v>
      </c>
      <c r="Q125" s="668"/>
      <c r="R125" s="668"/>
      <c r="S125" s="668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9" t="s">
        <v>187</v>
      </c>
      <c r="K126" s="669"/>
      <c r="L126" s="669"/>
      <c r="M126" s="669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0"/>
      <c r="K128" s="670"/>
      <c r="L128" s="670"/>
      <c r="M128" s="670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4" t="s">
        <v>189</v>
      </c>
      <c r="K129" s="664"/>
      <c r="L129" s="664"/>
      <c r="M129" s="66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27735/D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75" zoomScaleNormal="75" zoomScaleSheetLayoutView="90" workbookViewId="0">
      <pane xSplit="19" ySplit="15" topLeftCell="AH16" activePane="bottomRight" state="frozen"/>
      <selection activeCell="L1" sqref="L1"/>
      <selection pane="topRight" activeCell="T1" sqref="T1"/>
      <selection pane="bottomLeft" activeCell="L16" sqref="L16"/>
      <selection pane="bottomRight" activeCell="AJ164" sqref="AJ164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4" t="s">
        <v>440</v>
      </c>
      <c r="P4" s="684"/>
      <c r="Q4" s="112" t="s">
        <v>441</v>
      </c>
      <c r="R4" s="112" t="s">
        <v>146</v>
      </c>
      <c r="S4" s="684" t="s">
        <v>201</v>
      </c>
      <c r="T4" s="684"/>
      <c r="U4" s="684"/>
      <c r="V4" s="684"/>
      <c r="W4" s="684"/>
      <c r="X4" s="684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0.27350000000000002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7">
        <f>Import.CR</f>
        <v>0</v>
      </c>
      <c r="P5" s="687"/>
      <c r="Q5" s="118">
        <f>Import.SICONV</f>
        <v>0</v>
      </c>
      <c r="R5" s="119" t="str">
        <f>Import.Proponente</f>
        <v xml:space="preserve">MUNICIPIO DE CÉU AZUL </v>
      </c>
      <c r="S5" s="687" t="str">
        <f>Import.Apelido</f>
        <v xml:space="preserve">REFORMA E AMPLIAÇÃO DA ESCOLA OLAVO BILAC </v>
      </c>
      <c r="T5" s="687"/>
      <c r="U5" s="687"/>
      <c r="V5" s="687"/>
      <c r="W5" s="687"/>
      <c r="X5" s="687"/>
      <c r="Y5" s="120"/>
      <c r="Z5" s="120"/>
      <c r="AA5" s="120"/>
      <c r="AB5" s="120"/>
      <c r="AC5" s="105"/>
      <c r="AE5" s="694" t="s">
        <v>199</v>
      </c>
      <c r="AF5" s="694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4" t="s">
        <v>203</v>
      </c>
      <c r="P7" s="684"/>
      <c r="Q7" s="112" t="s">
        <v>204</v>
      </c>
      <c r="R7" s="112" t="str">
        <f>IF(TIPOORCAMENTO="Licitado","NOME DA EMPRESA","DESCRIÇÃO DO LOTE")</f>
        <v>DESCRIÇÃO DO LOTE</v>
      </c>
      <c r="S7" s="695" t="str">
        <f>IF(TIPOORCAMENTO="Licitado","REGIME DE EXECUÇÃO","MUNICÍPIO / UF")</f>
        <v>MUNICÍPIO / UF</v>
      </c>
      <c r="T7" s="695"/>
      <c r="U7" s="695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8" t="s">
        <v>206</v>
      </c>
      <c r="AL7" s="696" t="s">
        <v>207</v>
      </c>
    </row>
    <row r="8" spans="1:40" ht="12.75" customHeight="1" x14ac:dyDescent="0.2">
      <c r="A8" s="115"/>
      <c r="B8" s="115"/>
      <c r="C8" s="115"/>
      <c r="D8" s="105"/>
      <c r="F8" s="699" t="str">
        <f ca="1">IF(LEN(INFO("release"))&gt;5,"'Referência "&amp;Excel_BuiltIn_Database&amp;".xls'#Banco.$a5:$a$65536","'[Referência "&amp;Excel_BuiltIn_Database&amp;".xls]Banco'!$a5:$a$65536")</f>
        <v>'[Referência 03-2020.xls]Banco'!$a5:$a$65536</v>
      </c>
      <c r="G8" s="699"/>
      <c r="H8" s="699"/>
      <c r="I8" s="699"/>
      <c r="J8" s="699"/>
      <c r="K8" s="699"/>
      <c r="L8" s="677" t="s">
        <v>208</v>
      </c>
      <c r="M8" s="105"/>
      <c r="N8" s="105"/>
      <c r="O8" s="687" t="str">
        <f ca="1">IF(ISERROR(INDIRECT($F$9)),"(N/D: 'Referência "&amp;Excel_BuiltIn_Database&amp;".xls)",INDIRECT($F$9))</f>
        <v>CURITIBA</v>
      </c>
      <c r="P8" s="687"/>
      <c r="Q8" s="129" t="str">
        <f ca="1">TEXT(Import.DataBase,"mm-aa")&amp;IF(DESONERACAO="Sim"," (DES.)"," (N DES.)")</f>
        <v>03-20 (DES.)</v>
      </c>
      <c r="R8" s="119">
        <f>IF(TIPOORCAMENTO="Licitado",Import.empresa,Import.DescLote)</f>
        <v>0</v>
      </c>
      <c r="S8" s="700" t="str">
        <f>IF(TIPOORCAMENTO="Licitado",Import.RegimeExecução,Import.Município)</f>
        <v xml:space="preserve">CÉU AZUL </v>
      </c>
      <c r="T8" s="700"/>
      <c r="U8" s="700"/>
      <c r="V8" s="130" t="str">
        <f ca="1">IF(TIPOORCAMENTO="Licitado","",TEXT(F5,"0,00%"))</f>
        <v>27,35%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7" t="s">
        <v>209</v>
      </c>
      <c r="Z8" s="677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8"/>
      <c r="AL8" s="696"/>
      <c r="AN8" s="105"/>
    </row>
    <row r="9" spans="1:40" ht="12.75" customHeight="1" x14ac:dyDescent="0.2">
      <c r="A9" s="105"/>
      <c r="B9" s="105"/>
      <c r="C9" s="105"/>
      <c r="D9" s="105"/>
      <c r="F9" s="699" t="str">
        <f ca="1">IF(LEN(INFO("release"))&gt;5,"'Referência "&amp;Excel_BuiltIn_Database&amp;".xls'#Banco.$d$3","'[Referência "&amp;Excel_BuiltIn_Database&amp;".xls]Banco'!$d$3")</f>
        <v>'[Referência 03-2020.xls]Banco'!$d$3</v>
      </c>
      <c r="G9" s="699"/>
      <c r="H9" s="699"/>
      <c r="I9" s="699"/>
      <c r="J9" s="699"/>
      <c r="K9" s="699"/>
      <c r="L9" s="677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7"/>
      <c r="Z9" s="677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8"/>
      <c r="AL9" s="696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7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7"/>
      <c r="Z10" s="677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8"/>
      <c r="AL10" s="696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7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7"/>
      <c r="Z11" s="677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8"/>
      <c r="AL11" s="696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7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7"/>
      <c r="Z12" s="677"/>
      <c r="AA12" s="697" t="s">
        <v>215</v>
      </c>
      <c r="AB12" s="697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0.27350000000000002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2">
        <f>Import.DescLote</f>
        <v>0</v>
      </c>
      <c r="P15" s="702"/>
      <c r="Q15" s="702"/>
      <c r="R15" s="702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160564.95000000004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160564.95000000004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160564.95000000004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75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75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IF($C16="S",REFERENCIA.Descricao,"(VESTIÁRIO LAVANDERIA / COZINHA)")</f>
        <v>(VESTIÁRIO LAVANDERIA / COZINHA)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58864.160000000003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58864.160000000011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53"/>
      <c r="AL16" s="574"/>
      <c r="AM16" s="431">
        <f t="shared" ca="1" si="0"/>
        <v>58864.160000000003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4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74</v>
      </c>
      <c r="K17">
        <f ca="1">IF(OR($C17="S",$C17=0),0,MATCH(OFFSET($D17,0,$C17)+IF($C17&lt;&gt;1,1,COUNTIF(QCI!$A$13:$A$24,ORÇAMENTO!E17)),OFFSET($D17,1,$C17,ROW($C$266)-ROW($C17)),0))</f>
        <v>4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IF($C17="S",REFERENCIA.Descricao,"(SERVIÇOS INICIAIS)")</f>
        <v>(SERVIÇOS INICIAIS)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1517.15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1517.15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0.27350000000000002</v>
      </c>
      <c r="AJ17" s="553"/>
      <c r="AL17" s="574"/>
      <c r="AM17" s="431">
        <f t="shared" ca="1" si="0"/>
        <v>1517.15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452</v>
      </c>
      <c r="Q18" s="149" t="s">
        <v>454</v>
      </c>
      <c r="R18" s="150" t="str">
        <f t="shared" ref="R18:R79" ca="1" si="24">IF($C18="S",REFERENCIA.Descricao,"(digite a descrição aqui)")</f>
        <v>PLACA DE OBRA (PARA CONSTRUCAO CIVIL) EM CHAPA GALVANIZADA *N. 22*, ADESIVADA, DE *2,0 X 1,125* M</v>
      </c>
      <c r="S18" s="151" t="str">
        <f t="shared" ca="1" si="13"/>
        <v xml:space="preserve">M2    </v>
      </c>
      <c r="T18" s="152">
        <f ca="1">OFFSET(CÁLCULO!H$15,ROW($T18)-ROW(T$15),0)</f>
        <v>2.88</v>
      </c>
      <c r="U18" s="153">
        <v>280</v>
      </c>
      <c r="V18" s="154" t="s">
        <v>155</v>
      </c>
      <c r="W18" s="152">
        <f t="shared" ca="1" si="14"/>
        <v>356.58</v>
      </c>
      <c r="X18" s="155">
        <f t="shared" ca="1" si="15"/>
        <v>1026.95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1026.95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10049</v>
      </c>
      <c r="AG18" s="550">
        <f t="shared" ca="1" si="21"/>
        <v>280</v>
      </c>
      <c r="AH18" s="551">
        <f t="shared" ca="1" si="22"/>
        <v>0.27350000000000002</v>
      </c>
      <c r="AJ18" s="553">
        <v>2.88</v>
      </c>
      <c r="AL18" s="574"/>
      <c r="AM18" s="431">
        <f t="shared" ca="1" si="0"/>
        <v>1026.95</v>
      </c>
      <c r="AN18" s="617">
        <f t="shared" ca="1" si="23"/>
        <v>356.58</v>
      </c>
    </row>
    <row r="19" spans="1:40" ht="38.2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453</v>
      </c>
      <c r="R19" s="150" t="str">
        <f t="shared" ca="1" si="24"/>
        <v>LOCACAO CONVENCIONAL DE OBRA, UTILIZANDO GABARITO DE TÁBUAS CORRIDAS PONTALETADAS A CADA 2,00M -  2 UTILIZAÇÕES. AF_10/2018</v>
      </c>
      <c r="S19" s="151" t="str">
        <f t="shared" ca="1" si="13"/>
        <v>M</v>
      </c>
      <c r="T19" s="152">
        <f ca="1">OFFSET(CÁLCULO!H$15,ROW($T19)-ROW(T$15),0)</f>
        <v>10</v>
      </c>
      <c r="U19" s="153">
        <v>38.49</v>
      </c>
      <c r="V19" s="154" t="s">
        <v>155</v>
      </c>
      <c r="W19" s="152">
        <f t="shared" ca="1" si="14"/>
        <v>49.02</v>
      </c>
      <c r="X19" s="155">
        <f t="shared" ca="1" si="15"/>
        <v>490.2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490.2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99059</v>
      </c>
      <c r="AF19" s="160">
        <f t="shared" ca="1" si="20"/>
        <v>5984</v>
      </c>
      <c r="AG19" s="550">
        <f t="shared" ca="1" si="21"/>
        <v>38.49</v>
      </c>
      <c r="AH19" s="551">
        <f t="shared" ca="1" si="22"/>
        <v>0.27350000000000002</v>
      </c>
      <c r="AJ19" s="553">
        <v>10</v>
      </c>
      <c r="AL19" s="574"/>
      <c r="AM19" s="431">
        <f t="shared" ca="1" si="0"/>
        <v>490.2</v>
      </c>
      <c r="AN19" s="617">
        <f t="shared" ca="1" si="23"/>
        <v>49.02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0.27350000000000002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x14ac:dyDescent="0.2">
      <c r="A21">
        <f t="shared" si="1"/>
        <v>2</v>
      </c>
      <c r="B21">
        <f t="shared" ca="1" si="2"/>
        <v>2</v>
      </c>
      <c r="C21">
        <f t="shared" ca="1" si="3"/>
        <v>2</v>
      </c>
      <c r="D21">
        <f t="shared" ca="1" si="4"/>
        <v>15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0</v>
      </c>
      <c r="J21">
        <f t="shared" ca="1" si="9"/>
        <v>70</v>
      </c>
      <c r="K21">
        <f ca="1">IF(OR($C21="S",$C21=0),0,MATCH(OFFSET($D21,0,$C21)+IF($C21&lt;&gt;1,1,COUNTIF(QCI!$A$13:$A$24,ORÇAMENTO!E21)),OFFSET($D21,1,$C21,ROW($C$266)-ROW($C21)),0))</f>
        <v>15</v>
      </c>
      <c r="L21" s="144" t="str">
        <f t="shared" ca="1" si="10"/>
        <v>F</v>
      </c>
      <c r="M21" s="145" t="s">
        <v>195</v>
      </c>
      <c r="N21" s="146" t="str">
        <f t="shared" ca="1" si="11"/>
        <v>Nível 2</v>
      </c>
      <c r="O21" s="147" t="str">
        <f t="shared" ca="1" si="12"/>
        <v>1.2.</v>
      </c>
      <c r="P21" s="148" t="s">
        <v>246</v>
      </c>
      <c r="Q21" s="149"/>
      <c r="R21" s="150" t="str">
        <f ca="1">IF($C21="S",REFERENCIA.Descricao,"(FUNDAÇÕES RASAS, VIGAS, PILARES, VIGAS BALDRAME)")</f>
        <v>(FUNDAÇÕES RASAS, VIGAS, PILARES, VIGAS BALDRAME)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29433.9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29433.900000000005</v>
      </c>
      <c r="AB21" s="158">
        <f t="shared" ca="1" si="17"/>
        <v>0</v>
      </c>
      <c r="AC21" s="159" t="str">
        <f t="shared" ca="1" si="18"/>
        <v/>
      </c>
      <c r="AD21" s="105">
        <f ca="1">IF(C21&lt;=CRONO.NivelExibicao,MAX($AD$15:OFFSET(AD21,-1,0))+IF($C21&lt;&gt;1,1,MAX(1,COUNTIF(QCI!$A$13:$A$24,OFFSET($E21,-1,0)))),"")</f>
        <v>3</v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0.27350000000000002</v>
      </c>
      <c r="AJ21" s="553"/>
      <c r="AL21" s="574"/>
      <c r="AM21" s="431">
        <f t="shared" ca="1" si="0"/>
        <v>29433.9</v>
      </c>
      <c r="AN21" s="617">
        <f t="shared" ca="1" si="23"/>
        <v>0</v>
      </c>
    </row>
    <row r="22" spans="1:40" ht="25.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1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>F</v>
      </c>
      <c r="M22" s="145" t="s">
        <v>198</v>
      </c>
      <c r="N22" s="146" t="str">
        <f t="shared" ca="1" si="11"/>
        <v>Serviço</v>
      </c>
      <c r="O22" s="147" t="str">
        <f t="shared" ca="1" si="12"/>
        <v>1.2.1.</v>
      </c>
      <c r="P22" s="148" t="s">
        <v>246</v>
      </c>
      <c r="Q22" s="149" t="s">
        <v>455</v>
      </c>
      <c r="R22" s="150" t="str">
        <f ca="1">IF($C22="S",REFERENCIA.Descricao,"(digite a descrição aqui)")</f>
        <v>ESCAVACAO MECANICA CAMPO ABERTO EM SOLO EXCETO ROCHA ATE 2,00M PROFUNDIDADE</v>
      </c>
      <c r="S22" s="151" t="str">
        <f t="shared" ca="1" si="13"/>
        <v>M3</v>
      </c>
      <c r="T22" s="152">
        <f ca="1">OFFSET(CÁLCULO!H$15,ROW($T22)-ROW(T$15),0)</f>
        <v>80</v>
      </c>
      <c r="U22" s="153">
        <v>1.96</v>
      </c>
      <c r="V22" s="154" t="s">
        <v>155</v>
      </c>
      <c r="W22" s="152">
        <f t="shared" ca="1" si="14"/>
        <v>2.5</v>
      </c>
      <c r="X22" s="155">
        <f t="shared" ca="1" si="15"/>
        <v>200</v>
      </c>
      <c r="Y22" s="156" t="s">
        <v>244</v>
      </c>
      <c r="Z22" t="str">
        <f t="shared" ca="1" si="16"/>
        <v>RA</v>
      </c>
      <c r="AA22" s="157">
        <f ca="1">IF($C22="S",IF($Z22="CP",$X22,IF($Z22="RA",(($X22)*QCI!$AA$3),0)),SomaAgrup)</f>
        <v>200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str">
        <f t="shared" ca="1" si="19"/>
        <v>SINAPI 79480</v>
      </c>
      <c r="AF22" s="160">
        <f t="shared" ca="1" si="20"/>
        <v>4723</v>
      </c>
      <c r="AG22" s="550">
        <f t="shared" ca="1" si="21"/>
        <v>1.96</v>
      </c>
      <c r="AH22" s="551">
        <f t="shared" ca="1" si="22"/>
        <v>0.27350000000000002</v>
      </c>
      <c r="AJ22" s="553">
        <v>80</v>
      </c>
      <c r="AL22" s="574"/>
      <c r="AM22" s="431">
        <f t="shared" ca="1" si="0"/>
        <v>200</v>
      </c>
      <c r="AN22" s="617">
        <f t="shared" ca="1" si="23"/>
        <v>2.5</v>
      </c>
    </row>
    <row r="23" spans="1:40" ht="25.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1.2.2.</v>
      </c>
      <c r="P23" s="148" t="s">
        <v>246</v>
      </c>
      <c r="Q23" s="149" t="s">
        <v>456</v>
      </c>
      <c r="R23" s="150" t="str">
        <f t="shared" ca="1" si="24"/>
        <v>CONCRETO FCK = 20MPA, TRAÇO 1:2,7:3 (CIMENTO/ AREIA MÉDIA/ BRITA 1)  - PREPARO MECÂNICO COM BETONEIRA 400 L. AF_07/2016</v>
      </c>
      <c r="S23" s="151" t="str">
        <f t="shared" ca="1" si="13"/>
        <v>M3</v>
      </c>
      <c r="T23" s="152">
        <f ca="1">OFFSET(CÁLCULO!H$15,ROW($T23)-ROW(T$15),0)</f>
        <v>6.02</v>
      </c>
      <c r="U23" s="153">
        <v>286.67</v>
      </c>
      <c r="V23" s="154" t="s">
        <v>155</v>
      </c>
      <c r="W23" s="152">
        <f t="shared" ca="1" si="14"/>
        <v>365.07</v>
      </c>
      <c r="X23" s="155">
        <f t="shared" ca="1" si="15"/>
        <v>2197.7199999999998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2197.7199999999998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SINAPI 94964</v>
      </c>
      <c r="AF23" s="160">
        <f t="shared" ca="1" si="20"/>
        <v>2307</v>
      </c>
      <c r="AG23" s="550">
        <f t="shared" ca="1" si="21"/>
        <v>286.67</v>
      </c>
      <c r="AH23" s="551">
        <f t="shared" ca="1" si="22"/>
        <v>0.27350000000000002</v>
      </c>
      <c r="AJ23" s="553">
        <v>6.02</v>
      </c>
      <c r="AL23" s="574"/>
      <c r="AM23" s="431">
        <f t="shared" ca="1" si="0"/>
        <v>2197.7199999999998</v>
      </c>
      <c r="AN23" s="617">
        <f t="shared" ca="1" si="23"/>
        <v>365.07</v>
      </c>
    </row>
    <row r="24" spans="1:40" ht="5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3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1.2.3.</v>
      </c>
      <c r="P24" s="148" t="s">
        <v>246</v>
      </c>
      <c r="Q24" s="149" t="s">
        <v>457</v>
      </c>
      <c r="R24" s="150" t="str">
        <f t="shared" ca="1" si="24"/>
        <v>ARMAÇÃO DE PILAR OU VIGA DE UMA ESTRUTURA CONVENCIONAL DE CONCRETO ARMADO EM UM EDIFÍCIO DE MÚLTIPLOS PAVIMENTOS UTILIZANDO AÇO CA-50 DE 6,3 MM - MONTAGEM. AF_12/2015</v>
      </c>
      <c r="S24" s="151" t="str">
        <f t="shared" ca="1" si="13"/>
        <v>KG</v>
      </c>
      <c r="T24" s="152">
        <f ca="1">OFFSET(CÁLCULO!H$15,ROW($T24)-ROW(T$15),0)</f>
        <v>236</v>
      </c>
      <c r="U24" s="153">
        <v>9.2200000000000006</v>
      </c>
      <c r="V24" s="154" t="s">
        <v>155</v>
      </c>
      <c r="W24" s="152">
        <f t="shared" ca="1" si="14"/>
        <v>11.74</v>
      </c>
      <c r="X24" s="155">
        <f t="shared" ca="1" si="15"/>
        <v>2770.64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2770.64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 92760</v>
      </c>
      <c r="AF24" s="160">
        <f t="shared" ca="1" si="20"/>
        <v>2153</v>
      </c>
      <c r="AG24" s="550">
        <f t="shared" ca="1" si="21"/>
        <v>9.2200000000000006</v>
      </c>
      <c r="AH24" s="551">
        <f t="shared" ca="1" si="22"/>
        <v>0.27350000000000002</v>
      </c>
      <c r="AJ24" s="553">
        <v>236</v>
      </c>
      <c r="AL24" s="574"/>
      <c r="AM24" s="431">
        <f t="shared" ca="1" si="0"/>
        <v>2770.64</v>
      </c>
      <c r="AN24" s="617">
        <f t="shared" ca="1" si="23"/>
        <v>11.74</v>
      </c>
    </row>
    <row r="25" spans="1:40" ht="5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4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1.2.4.</v>
      </c>
      <c r="P25" s="148" t="s">
        <v>246</v>
      </c>
      <c r="Q25" s="149" t="s">
        <v>458</v>
      </c>
      <c r="R25" s="150" t="str">
        <f t="shared" ca="1" si="24"/>
        <v>ARMAÇÃO DE PILAR OU VIGA DE UMA ESTRUTURA CONVENCIONAL DE CONCRETO ARMADO EM UM EDIFÍCIO DE MÚLTIPLOS PAVIMENTOS UTILIZANDO AÇO CA-50 DE 10,0 MM - MONTAGEM. AF_12/2015</v>
      </c>
      <c r="S25" s="151" t="str">
        <f t="shared" ca="1" si="13"/>
        <v>KG</v>
      </c>
      <c r="T25" s="152">
        <f ca="1">OFFSET(CÁLCULO!H$15,ROW($T25)-ROW(T$15),0)</f>
        <v>565.4</v>
      </c>
      <c r="U25" s="153">
        <v>7.31</v>
      </c>
      <c r="V25" s="154" t="s">
        <v>155</v>
      </c>
      <c r="W25" s="152">
        <f t="shared" ca="1" si="14"/>
        <v>9.31</v>
      </c>
      <c r="X25" s="155">
        <f t="shared" ca="1" si="15"/>
        <v>5263.87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5263.87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 92762</v>
      </c>
      <c r="AF25" s="160">
        <f t="shared" ca="1" si="20"/>
        <v>2155</v>
      </c>
      <c r="AG25" s="550">
        <f t="shared" ca="1" si="21"/>
        <v>7.31</v>
      </c>
      <c r="AH25" s="551">
        <f t="shared" ca="1" si="22"/>
        <v>0.27350000000000002</v>
      </c>
      <c r="AJ25" s="553">
        <v>565.4</v>
      </c>
      <c r="AL25" s="574"/>
      <c r="AM25" s="431">
        <f t="shared" ca="1" si="0"/>
        <v>5263.87</v>
      </c>
      <c r="AN25" s="617">
        <f t="shared" ca="1" si="23"/>
        <v>9.31</v>
      </c>
    </row>
    <row r="26" spans="1:40" ht="5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5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1.2.5.</v>
      </c>
      <c r="P26" s="148" t="s">
        <v>246</v>
      </c>
      <c r="Q26" s="658" t="s">
        <v>534</v>
      </c>
      <c r="R26" s="150" t="str">
        <f t="shared" ca="1" si="24"/>
        <v>ALVENARIA DE VEDAÇÃO DE BLOCOS CERÂMICOS FURADOS NA HORIZONTAL DE 9X14X19CM (ESPESSURA 9CM) DE PAREDES COM ÁREA LÍQUIDA MAIOR OU IGUAL A 6M² SEM VÃOS E ARGAMASSA DE ASSENTAMENTO COM PREPARO MANUAL. AF_06/2014</v>
      </c>
      <c r="S26" s="151" t="str">
        <f t="shared" ca="1" si="13"/>
        <v>M2</v>
      </c>
      <c r="T26" s="152">
        <f ca="1">OFFSET(CÁLCULO!H$15,ROW($T26)-ROW(T$15),0)</f>
        <v>92.31</v>
      </c>
      <c r="U26" s="153">
        <v>63.18</v>
      </c>
      <c r="V26" s="154" t="s">
        <v>155</v>
      </c>
      <c r="W26" s="152">
        <f t="shared" ca="1" si="14"/>
        <v>80.459999999999994</v>
      </c>
      <c r="X26" s="155">
        <f t="shared" ca="1" si="15"/>
        <v>7427.26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7427.26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87508</v>
      </c>
      <c r="AF26" s="160">
        <f t="shared" ca="1" si="20"/>
        <v>4946</v>
      </c>
      <c r="AG26" s="550">
        <f t="shared" ca="1" si="21"/>
        <v>63.18</v>
      </c>
      <c r="AH26" s="551">
        <f t="shared" ca="1" si="22"/>
        <v>0.27350000000000002</v>
      </c>
      <c r="AJ26" s="553">
        <v>92.31</v>
      </c>
      <c r="AL26" s="574"/>
      <c r="AM26" s="431">
        <f t="shared" ca="1" si="0"/>
        <v>7427.26</v>
      </c>
      <c r="AN26" s="617">
        <f t="shared" ca="1" si="23"/>
        <v>80.459999999999994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6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1.2.6.</v>
      </c>
      <c r="P27" s="148" t="s">
        <v>246</v>
      </c>
      <c r="Q27" s="149" t="s">
        <v>459</v>
      </c>
      <c r="R27" s="150" t="str">
        <f t="shared" ca="1" si="24"/>
        <v>LASTRO COM MATERIAL GRANULAR, APLICAÇÃO EM PISOS OU RADIERS, ESPESSURA DE *5 CM*. AF_08/2017</v>
      </c>
      <c r="S27" s="151" t="str">
        <f t="shared" ca="1" si="13"/>
        <v>M3</v>
      </c>
      <c r="T27" s="152">
        <f ca="1">OFFSET(CÁLCULO!H$15,ROW($T27)-ROW(T$15),0)</f>
        <v>4</v>
      </c>
      <c r="U27" s="153">
        <v>85.14</v>
      </c>
      <c r="V27" s="154" t="s">
        <v>155</v>
      </c>
      <c r="W27" s="152">
        <f t="shared" ca="1" si="14"/>
        <v>108.43</v>
      </c>
      <c r="X27" s="155">
        <f t="shared" ca="1" si="15"/>
        <v>433.72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433.72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 96622</v>
      </c>
      <c r="AF27" s="160">
        <f t="shared" ca="1" si="20"/>
        <v>1940</v>
      </c>
      <c r="AG27" s="550">
        <f t="shared" ca="1" si="21"/>
        <v>85.14</v>
      </c>
      <c r="AH27" s="551">
        <f t="shared" ca="1" si="22"/>
        <v>0.27350000000000002</v>
      </c>
      <c r="AJ27" s="553">
        <v>4</v>
      </c>
      <c r="AL27" s="574"/>
      <c r="AM27" s="431">
        <f t="shared" ca="1" si="0"/>
        <v>433.72</v>
      </c>
      <c r="AN27" s="617">
        <f t="shared" ca="1" si="23"/>
        <v>108.43</v>
      </c>
    </row>
    <row r="28" spans="1:40" ht="25.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7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1.2.7.</v>
      </c>
      <c r="P28" s="148" t="s">
        <v>452</v>
      </c>
      <c r="Q28" s="149" t="s">
        <v>460</v>
      </c>
      <c r="R28" s="150" t="str">
        <f t="shared" ca="1" si="24"/>
        <v>TABUA DE MADEIRA NAO APARELHADA *2,5 X 30* CM, CEDRINHO OU EQUIVALENTE DA REGIAO</v>
      </c>
      <c r="S28" s="151" t="str">
        <f t="shared" ca="1" si="13"/>
        <v xml:space="preserve">M     </v>
      </c>
      <c r="T28" s="152">
        <f ca="1">OFFSET(CÁLCULO!H$15,ROW($T28)-ROW(T$15),0)</f>
        <v>84</v>
      </c>
      <c r="U28" s="153">
        <v>12.26</v>
      </c>
      <c r="V28" s="154" t="s">
        <v>155</v>
      </c>
      <c r="W28" s="152">
        <f t="shared" ca="1" si="14"/>
        <v>15.61</v>
      </c>
      <c r="X28" s="155">
        <f t="shared" ca="1" si="15"/>
        <v>1311.24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1311.24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SINAPI-I 6189</v>
      </c>
      <c r="AF28" s="160">
        <f t="shared" ca="1" si="20"/>
        <v>10565</v>
      </c>
      <c r="AG28" s="550">
        <f t="shared" ca="1" si="21"/>
        <v>12.26</v>
      </c>
      <c r="AH28" s="551">
        <f t="shared" ca="1" si="22"/>
        <v>0.27350000000000002</v>
      </c>
      <c r="AJ28" s="553">
        <v>84</v>
      </c>
      <c r="AL28" s="574"/>
      <c r="AM28" s="431">
        <f t="shared" ca="1" si="0"/>
        <v>1311.24</v>
      </c>
      <c r="AN28" s="617">
        <f t="shared" ca="1" si="23"/>
        <v>15.61</v>
      </c>
    </row>
    <row r="29" spans="1:40" ht="25.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8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1.2.8.</v>
      </c>
      <c r="P29" s="148" t="s">
        <v>452</v>
      </c>
      <c r="Q29" s="149" t="s">
        <v>461</v>
      </c>
      <c r="R29" s="150" t="str">
        <f t="shared" ca="1" si="24"/>
        <v>RUFO EXTERNO DE CHAPA DE ACO GALVANIZADA NUM 26, CORTE 28 CM</v>
      </c>
      <c r="S29" s="151" t="str">
        <f t="shared" ca="1" si="13"/>
        <v xml:space="preserve">M     </v>
      </c>
      <c r="T29" s="152">
        <f ca="1">OFFSET(CÁLCULO!H$15,ROW($T29)-ROW(T$15),0)</f>
        <v>21.15</v>
      </c>
      <c r="U29" s="153">
        <v>15.32</v>
      </c>
      <c r="V29" s="154" t="s">
        <v>155</v>
      </c>
      <c r="W29" s="152">
        <f t="shared" ca="1" si="14"/>
        <v>19.510000000000002</v>
      </c>
      <c r="X29" s="155">
        <f t="shared" ca="1" si="15"/>
        <v>412.64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412.64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SINAPI-I 1115</v>
      </c>
      <c r="AF29" s="160">
        <f t="shared" ca="1" si="20"/>
        <v>10432</v>
      </c>
      <c r="AG29" s="550">
        <f t="shared" ca="1" si="21"/>
        <v>15.32</v>
      </c>
      <c r="AH29" s="551">
        <f t="shared" ca="1" si="22"/>
        <v>0.27350000000000002</v>
      </c>
      <c r="AJ29" s="553">
        <v>21.15</v>
      </c>
      <c r="AL29" s="574"/>
      <c r="AM29" s="431">
        <f t="shared" ca="1" si="0"/>
        <v>412.64</v>
      </c>
      <c r="AN29" s="617">
        <f t="shared" ca="1" si="23"/>
        <v>19.510000000000002</v>
      </c>
    </row>
    <row r="30" spans="1:40" ht="38.2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9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1.2.9.</v>
      </c>
      <c r="P30" s="148" t="s">
        <v>246</v>
      </c>
      <c r="Q30" s="149" t="s">
        <v>462</v>
      </c>
      <c r="R30" s="150" t="str">
        <f t="shared" ca="1" si="24"/>
        <v>CALHA EM CHAPA DE AÇO GALVANIZADO NÚMERO 24, DESENVOLVIMENTO DE 33 CM, INCLUSO TRANSPORTE VERTICAL. AF_07/2019</v>
      </c>
      <c r="S30" s="151" t="str">
        <f t="shared" ca="1" si="13"/>
        <v>M</v>
      </c>
      <c r="T30" s="152">
        <f ca="1">OFFSET(CÁLCULO!H$15,ROW($T30)-ROW(T$15),0)</f>
        <v>10.78</v>
      </c>
      <c r="U30" s="153">
        <v>42.14</v>
      </c>
      <c r="V30" s="154" t="s">
        <v>155</v>
      </c>
      <c r="W30" s="152">
        <f t="shared" ca="1" si="14"/>
        <v>53.67</v>
      </c>
      <c r="X30" s="155">
        <f t="shared" ca="1" si="15"/>
        <v>578.55999999999995</v>
      </c>
      <c r="Y30" s="156" t="s">
        <v>244</v>
      </c>
      <c r="Z30" t="str">
        <f t="shared" ca="1" si="16"/>
        <v>RA</v>
      </c>
      <c r="AA30" s="157">
        <f ca="1">IF($C30="S",IF($Z30="CP",$X30,IF($Z30="RA",(($X30)*QCI!$AA$3),0)),SomaAgrup)</f>
        <v>578.55999999999995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SINAPI 94227</v>
      </c>
      <c r="AF30" s="160">
        <f t="shared" ca="1" si="20"/>
        <v>1276</v>
      </c>
      <c r="AG30" s="550">
        <f t="shared" ca="1" si="21"/>
        <v>42.14</v>
      </c>
      <c r="AH30" s="551">
        <f t="shared" ca="1" si="22"/>
        <v>0.27350000000000002</v>
      </c>
      <c r="AJ30" s="553">
        <v>10.78</v>
      </c>
      <c r="AL30" s="574"/>
      <c r="AM30" s="431">
        <f t="shared" ca="1" si="0"/>
        <v>578.55999999999995</v>
      </c>
      <c r="AN30" s="617">
        <f t="shared" ca="1" si="23"/>
        <v>53.67</v>
      </c>
    </row>
    <row r="31" spans="1:40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10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1.2.10.</v>
      </c>
      <c r="P31" s="148" t="s">
        <v>246</v>
      </c>
      <c r="Q31" s="149" t="s">
        <v>463</v>
      </c>
      <c r="R31" s="150" t="str">
        <f t="shared" ca="1" si="24"/>
        <v>FABRICAÇÃO E INSTALAÇÃO DE TESOURA INTEIRA EM AÇO, VÃO DE 5 M, PARA TELHA CERÂMICA OU DE CONCRETO, INCLUSO IÇAMENTO. AF_12/2015</v>
      </c>
      <c r="S31" s="151" t="str">
        <f t="shared" ca="1" si="13"/>
        <v>UN</v>
      </c>
      <c r="T31" s="152">
        <f ca="1">OFFSET(CÁLCULO!H$15,ROW($T31)-ROW(T$15),0)</f>
        <v>5</v>
      </c>
      <c r="U31" s="153">
        <v>672.23</v>
      </c>
      <c r="V31" s="154" t="s">
        <v>155</v>
      </c>
      <c r="W31" s="152">
        <f t="shared" ca="1" si="14"/>
        <v>856.08</v>
      </c>
      <c r="X31" s="155">
        <f t="shared" ca="1" si="15"/>
        <v>4280.3999999999996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4280.3999999999996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 92586</v>
      </c>
      <c r="AF31" s="160">
        <f t="shared" ca="1" si="20"/>
        <v>1301</v>
      </c>
      <c r="AG31" s="550">
        <f t="shared" ca="1" si="21"/>
        <v>672.23</v>
      </c>
      <c r="AH31" s="551">
        <f t="shared" ca="1" si="22"/>
        <v>0.27350000000000002</v>
      </c>
      <c r="AJ31" s="553">
        <v>5</v>
      </c>
      <c r="AL31" s="574"/>
      <c r="AM31" s="431">
        <f t="shared" ca="1" si="0"/>
        <v>4280.3999999999996</v>
      </c>
      <c r="AN31" s="617">
        <f t="shared" ca="1" si="23"/>
        <v>856.08</v>
      </c>
    </row>
    <row r="32" spans="1:40" ht="25.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11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>F</v>
      </c>
      <c r="M32" s="145" t="s">
        <v>198</v>
      </c>
      <c r="N32" s="146" t="str">
        <f t="shared" ca="1" si="11"/>
        <v>Serviço</v>
      </c>
      <c r="O32" s="147" t="str">
        <f t="shared" ca="1" si="12"/>
        <v>1.2.11.</v>
      </c>
      <c r="P32" s="148" t="s">
        <v>452</v>
      </c>
      <c r="Q32" s="149" t="s">
        <v>464</v>
      </c>
      <c r="R32" s="150" t="str">
        <f ca="1">IF($C32="S",REFERENCIA.Descricao,"(digite a descrição aqui)")</f>
        <v>FORRO DE PVC LISO, BRANCO, REGUA DE 10 CM, ESPESSURA DE 8 MM A 10 MM (COM COLOCACAO / SEM ESTRUTURA METALICA)</v>
      </c>
      <c r="S32" s="151" t="str">
        <f t="shared" ca="1" si="13"/>
        <v xml:space="preserve">M2    </v>
      </c>
      <c r="T32" s="152">
        <f ca="1">OFFSET(CÁLCULO!H$15,ROW($T32)-ROW(T$15),0)</f>
        <v>42.22</v>
      </c>
      <c r="U32" s="153">
        <v>39.869999999999997</v>
      </c>
      <c r="V32" s="154" t="s">
        <v>155</v>
      </c>
      <c r="W32" s="152">
        <f t="shared" ca="1" si="14"/>
        <v>50.77</v>
      </c>
      <c r="X32" s="155">
        <f t="shared" ca="1" si="15"/>
        <v>2143.5100000000002</v>
      </c>
      <c r="Y32" s="156" t="s">
        <v>244</v>
      </c>
      <c r="Z32" t="str">
        <f t="shared" ca="1" si="16"/>
        <v>RA</v>
      </c>
      <c r="AA32" s="157">
        <f ca="1">IF($C32="S",IF($Z32="CP",$X32,IF($Z32="RA",(($X32)*QCI!$AA$3),0)),SomaAgrup)</f>
        <v>2143.5100000000002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str">
        <f t="shared" ca="1" si="19"/>
        <v>SINAPI-I 11587</v>
      </c>
      <c r="AF32" s="160">
        <f t="shared" ca="1" si="20"/>
        <v>8651</v>
      </c>
      <c r="AG32" s="550">
        <f t="shared" ca="1" si="21"/>
        <v>39.869999999999997</v>
      </c>
      <c r="AH32" s="551">
        <f t="shared" ca="1" si="22"/>
        <v>0.27350000000000002</v>
      </c>
      <c r="AJ32" s="553">
        <v>42.22</v>
      </c>
      <c r="AL32" s="574"/>
      <c r="AM32" s="431">
        <f t="shared" ca="1" si="0"/>
        <v>2143.5100000000002</v>
      </c>
      <c r="AN32" s="617">
        <f t="shared" ca="1" si="23"/>
        <v>50.77</v>
      </c>
    </row>
    <row r="33" spans="1:40" ht="5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12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>F</v>
      </c>
      <c r="M33" s="145" t="s">
        <v>198</v>
      </c>
      <c r="N33" s="146" t="str">
        <f t="shared" ca="1" si="11"/>
        <v>Serviço</v>
      </c>
      <c r="O33" s="147" t="str">
        <f t="shared" ca="1" si="12"/>
        <v>1.2.12.</v>
      </c>
      <c r="P33" s="148" t="s">
        <v>246</v>
      </c>
      <c r="Q33" s="149" t="s">
        <v>465</v>
      </c>
      <c r="R33" s="150" t="str">
        <f t="shared" ca="1" si="24"/>
        <v>TELHAMENTO COM TELHA ONDULADA DE FIBROCIMENTO E = 6 MM, COM RECOBRIMENTO LATERAL DE 1 1/4 DE ONDA PARA TELHADO COM INCLINAÇÃO MÁXIMA DE 10°, COM ATÉ 2 ÁGUAS, INCLUSO IÇAMENTO. AF_07/2019</v>
      </c>
      <c r="S33" s="151" t="str">
        <f t="shared" ca="1" si="13"/>
        <v>M2</v>
      </c>
      <c r="T33" s="152">
        <f ca="1">OFFSET(CÁLCULO!H$15,ROW($T33)-ROW(T$15),0)</f>
        <v>55.81</v>
      </c>
      <c r="U33" s="153">
        <v>33.97</v>
      </c>
      <c r="V33" s="154" t="s">
        <v>155</v>
      </c>
      <c r="W33" s="152">
        <f t="shared" ca="1" si="14"/>
        <v>43.26</v>
      </c>
      <c r="X33" s="155">
        <f t="shared" ca="1" si="15"/>
        <v>2414.34</v>
      </c>
      <c r="Y33" s="156" t="s">
        <v>244</v>
      </c>
      <c r="Z33" t="str">
        <f t="shared" ca="1" si="16"/>
        <v>RA</v>
      </c>
      <c r="AA33" s="157">
        <f ca="1">IF($C33="S",IF($Z33="CP",$X33,IF($Z33="RA",(($X33)*QCI!$AA$3),0)),SomaAgrup)</f>
        <v>2414.34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str">
        <f t="shared" ca="1" si="19"/>
        <v>SINAPI 94210</v>
      </c>
      <c r="AF33" s="160">
        <f t="shared" ca="1" si="20"/>
        <v>1258</v>
      </c>
      <c r="AG33" s="550">
        <f t="shared" ca="1" si="21"/>
        <v>33.97</v>
      </c>
      <c r="AH33" s="551">
        <f t="shared" ca="1" si="22"/>
        <v>0.27350000000000002</v>
      </c>
      <c r="AJ33" s="553">
        <v>55.81</v>
      </c>
      <c r="AL33" s="574"/>
      <c r="AM33" s="431">
        <f t="shared" ca="1" si="0"/>
        <v>2414.34</v>
      </c>
      <c r="AN33" s="617">
        <f t="shared" ca="1" si="23"/>
        <v>43.26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2</v>
      </c>
      <c r="G34">
        <f t="shared" ca="1" si="6"/>
        <v>0</v>
      </c>
      <c r="H34">
        <f t="shared" ca="1" si="7"/>
        <v>0</v>
      </c>
      <c r="I34">
        <f t="shared" ca="1" si="8"/>
        <v>12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0.27350000000000002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2</v>
      </c>
      <c r="G35">
        <f t="shared" ca="1" si="6"/>
        <v>0</v>
      </c>
      <c r="H35">
        <f t="shared" ca="1" si="7"/>
        <v>0</v>
      </c>
      <c r="I35">
        <f t="shared" ca="1" si="8"/>
        <v>12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0.27350000000000002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x14ac:dyDescent="0.2">
      <c r="A36">
        <f t="shared" si="1"/>
        <v>2</v>
      </c>
      <c r="B36">
        <f t="shared" ca="1" si="2"/>
        <v>2</v>
      </c>
      <c r="C36">
        <f t="shared" ca="1" si="3"/>
        <v>2</v>
      </c>
      <c r="D36">
        <f t="shared" ca="1" si="4"/>
        <v>12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0</v>
      </c>
      <c r="J36">
        <f t="shared" ca="1" si="9"/>
        <v>55</v>
      </c>
      <c r="K36">
        <f ca="1">IF(OR($C36="S",$C36=0),0,MATCH(OFFSET($D36,0,$C36)+IF($C36&lt;&gt;1,1,COUNTIF(QCI!$A$13:$A$24,ORÇAMENTO!E36)),OFFSET($D36,1,$C36,ROW($C$266)-ROW($C36)),0))</f>
        <v>12</v>
      </c>
      <c r="L36" s="144" t="str">
        <f t="shared" ca="1" si="10"/>
        <v>F</v>
      </c>
      <c r="M36" s="145" t="s">
        <v>195</v>
      </c>
      <c r="N36" s="146" t="str">
        <f t="shared" ca="1" si="11"/>
        <v>Nível 2</v>
      </c>
      <c r="O36" s="147" t="str">
        <f t="shared" ca="1" si="12"/>
        <v>1.3.</v>
      </c>
      <c r="P36" s="148" t="s">
        <v>246</v>
      </c>
      <c r="Q36" s="149"/>
      <c r="R36" s="150" t="str">
        <f ca="1">IF($C36="S",REFERENCIA.Descricao,"(REVESTIMENTOS)")</f>
        <v>(REVESTIMENTOS)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16364.91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16364.910000000002</v>
      </c>
      <c r="AB36" s="158">
        <f t="shared" ca="1" si="17"/>
        <v>0</v>
      </c>
      <c r="AC36" s="159" t="str">
        <f t="shared" ca="1" si="18"/>
        <v/>
      </c>
      <c r="AD36" s="105">
        <f ca="1">IF(C36&lt;=CRONO.NivelExibicao,MAX($AD$15:OFFSET(AD36,-1,0))+IF($C36&lt;&gt;1,1,MAX(1,COUNTIF(QCI!$A$13:$A$24,OFFSET($E36,-1,0)))),"")</f>
        <v>4</v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0.27350000000000002</v>
      </c>
      <c r="AJ36" s="553"/>
      <c r="AL36" s="574"/>
      <c r="AM36" s="431">
        <f t="shared" ca="1" si="0"/>
        <v>16364.91</v>
      </c>
      <c r="AN36" s="617">
        <f t="shared" ca="1" si="23"/>
        <v>0</v>
      </c>
    </row>
    <row r="37" spans="1:40" ht="38.2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1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1.3.1.</v>
      </c>
      <c r="P37" s="148" t="s">
        <v>246</v>
      </c>
      <c r="Q37" s="149" t="s">
        <v>466</v>
      </c>
      <c r="R37" s="150" t="str">
        <f t="shared" ca="1" si="24"/>
        <v>CONTRAPISO EM ARGAMASSA TRAÇO 1:4 (CIMENTO E AREIA), PREPARO MECÂNICO COM BETONEIRA 400 L, APLICADO EM ÁREAS SECAS SOBRE LAJE, NÃO ADERIDO, ESPESSURA 6CM. AF_06/2014</v>
      </c>
      <c r="S37" s="151" t="str">
        <f t="shared" ca="1" si="13"/>
        <v>M2</v>
      </c>
      <c r="T37" s="152">
        <f ca="1">OFFSET(CÁLCULO!H$15,ROW($T37)-ROW(T$15),0)</f>
        <v>31.22</v>
      </c>
      <c r="U37" s="153">
        <v>35.94</v>
      </c>
      <c r="V37" s="154" t="s">
        <v>155</v>
      </c>
      <c r="W37" s="152">
        <f t="shared" ca="1" si="14"/>
        <v>45.77</v>
      </c>
      <c r="X37" s="155">
        <f t="shared" ca="1" si="15"/>
        <v>1428.94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1428.94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 87700</v>
      </c>
      <c r="AF37" s="160">
        <f t="shared" ca="1" si="20"/>
        <v>5379</v>
      </c>
      <c r="AG37" s="550">
        <f t="shared" ca="1" si="21"/>
        <v>35.94</v>
      </c>
      <c r="AH37" s="551">
        <f t="shared" ca="1" si="22"/>
        <v>0.27350000000000002</v>
      </c>
      <c r="AJ37" s="553">
        <v>31.22</v>
      </c>
      <c r="AL37" s="574"/>
      <c r="AM37" s="431">
        <f t="shared" ca="1" si="0"/>
        <v>1428.94</v>
      </c>
      <c r="AN37" s="617">
        <f t="shared" ca="1" si="23"/>
        <v>45.77</v>
      </c>
    </row>
    <row r="38" spans="1:40" ht="38.2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1.3.2.</v>
      </c>
      <c r="P38" s="148" t="s">
        <v>246</v>
      </c>
      <c r="Q38" s="149" t="s">
        <v>467</v>
      </c>
      <c r="R38" s="150" t="str">
        <f t="shared" ca="1" si="24"/>
        <v>CHAPISCO APLICADO SOMENTE EM ESTRUTURAS DE CONCRETO EM ALVENARIAS INTERNAS, COM DESEMPENADEIRA DENTADA. ARGAMASSA INDUSTRIALIZADA COM PREPARO MANUAL. AF_06/2014</v>
      </c>
      <c r="S38" s="151" t="str">
        <f t="shared" ca="1" si="13"/>
        <v>M2</v>
      </c>
      <c r="T38" s="152">
        <f ca="1">OFFSET(CÁLCULO!H$15,ROW($T38)-ROW(T$15),0)</f>
        <v>93.75</v>
      </c>
      <c r="U38" s="153">
        <v>14.4</v>
      </c>
      <c r="V38" s="154" t="s">
        <v>155</v>
      </c>
      <c r="W38" s="152">
        <f t="shared" ca="1" si="14"/>
        <v>18.34</v>
      </c>
      <c r="X38" s="155">
        <f t="shared" ca="1" si="15"/>
        <v>1719.38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1719.38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87871</v>
      </c>
      <c r="AF38" s="160">
        <f t="shared" ca="1" si="20"/>
        <v>5434</v>
      </c>
      <c r="AG38" s="550">
        <f t="shared" ca="1" si="21"/>
        <v>14.4</v>
      </c>
      <c r="AH38" s="551">
        <f t="shared" ca="1" si="22"/>
        <v>0.27350000000000002</v>
      </c>
      <c r="AJ38" s="553">
        <v>93.75</v>
      </c>
      <c r="AL38" s="574"/>
      <c r="AM38" s="431">
        <f t="shared" ca="1" si="0"/>
        <v>1719.38</v>
      </c>
      <c r="AN38" s="617">
        <f t="shared" ca="1" si="23"/>
        <v>18.34</v>
      </c>
    </row>
    <row r="39" spans="1:40" ht="5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3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1.3.3.</v>
      </c>
      <c r="P39" s="148" t="s">
        <v>246</v>
      </c>
      <c r="Q39" s="149" t="s">
        <v>468</v>
      </c>
      <c r="R39" s="150" t="str">
        <f t="shared" ca="1" si="24"/>
        <v>CHAPISCO APLICADO EM ALVENARIA (SEM PRESENÇA DE VÃOS) E ESTRUTURAS DE CONCRETO DE FACHADA, COM ROLO PARA TEXTURA ACRÍLICA.  ARGAMASSA TRAÇO 1:4 E EMULSÃO POLIMÉRICA (ADESIVO) COM PREPARO MANUAL. AF_06/2014</v>
      </c>
      <c r="S39" s="151" t="str">
        <f t="shared" ca="1" si="13"/>
        <v>M2</v>
      </c>
      <c r="T39" s="152">
        <f ca="1">OFFSET(CÁLCULO!H$15,ROW($T39)-ROW(T$15),0)</f>
        <v>60</v>
      </c>
      <c r="U39" s="153">
        <v>4.79</v>
      </c>
      <c r="V39" s="154" t="s">
        <v>155</v>
      </c>
      <c r="W39" s="152">
        <f t="shared" ca="1" si="14"/>
        <v>6.1</v>
      </c>
      <c r="X39" s="155">
        <f t="shared" ca="1" si="15"/>
        <v>366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366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 87888</v>
      </c>
      <c r="AF39" s="160">
        <f t="shared" ca="1" si="20"/>
        <v>5448</v>
      </c>
      <c r="AG39" s="550">
        <f t="shared" ca="1" si="21"/>
        <v>4.79</v>
      </c>
      <c r="AH39" s="551">
        <f t="shared" ca="1" si="22"/>
        <v>0.27350000000000002</v>
      </c>
      <c r="AJ39" s="553">
        <v>60</v>
      </c>
      <c r="AL39" s="574"/>
      <c r="AM39" s="431">
        <f t="shared" ca="1" si="0"/>
        <v>366</v>
      </c>
      <c r="AN39" s="617">
        <f t="shared" ca="1" si="23"/>
        <v>6.1</v>
      </c>
    </row>
    <row r="40" spans="1:40" ht="63.7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4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>F</v>
      </c>
      <c r="M40" s="145" t="s">
        <v>198</v>
      </c>
      <c r="N40" s="146" t="str">
        <f t="shared" ca="1" si="11"/>
        <v>Serviço</v>
      </c>
      <c r="O40" s="147" t="str">
        <f t="shared" ca="1" si="12"/>
        <v>1.3.4.</v>
      </c>
      <c r="P40" s="148" t="s">
        <v>246</v>
      </c>
      <c r="Q40" s="149" t="s">
        <v>469</v>
      </c>
      <c r="R40" s="150" t="str">
        <f t="shared" ca="1" si="24"/>
        <v>EMBOÇO, PARA RECEBIMENTO DE CERÂMICA, EM ARGAMASSA TRAÇO 1:2:8, PREPARO MANUAL, APLICADO MANUALMENTE EM FACES INTERNAS DE PAREDES, PARA AMBIENTE COM ÁREA  ENTRE 5M2 E 10M2, ESPESSURA DE 20MM, COM EXECUÇÃO DE TALISCAS. AF_06/2014</v>
      </c>
      <c r="S40" s="151" t="str">
        <f t="shared" ca="1" si="13"/>
        <v>M2</v>
      </c>
      <c r="T40" s="152">
        <f ca="1">OFFSET(CÁLCULO!H$15,ROW($T40)-ROW(T$15),0)</f>
        <v>93.75</v>
      </c>
      <c r="U40" s="153">
        <v>27.29</v>
      </c>
      <c r="V40" s="154" t="s">
        <v>155</v>
      </c>
      <c r="W40" s="152">
        <f t="shared" ca="1" si="14"/>
        <v>34.75</v>
      </c>
      <c r="X40" s="155">
        <f t="shared" ca="1" si="15"/>
        <v>3257.81</v>
      </c>
      <c r="Y40" s="156" t="s">
        <v>244</v>
      </c>
      <c r="Z40" t="str">
        <f t="shared" ca="1" si="16"/>
        <v>RA</v>
      </c>
      <c r="AA40" s="157">
        <f ca="1">IF($C40="S",IF($Z40="CP",$X40,IF($Z40="RA",(($X40)*QCI!$AA$3),0)),SomaAgrup)</f>
        <v>3257.81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str">
        <f t="shared" ca="1" si="19"/>
        <v>SINAPI 87532</v>
      </c>
      <c r="AF40" s="160">
        <f t="shared" ca="1" si="20"/>
        <v>5501</v>
      </c>
      <c r="AG40" s="550">
        <f t="shared" ca="1" si="21"/>
        <v>27.29</v>
      </c>
      <c r="AH40" s="551">
        <f t="shared" ca="1" si="22"/>
        <v>0.27350000000000002</v>
      </c>
      <c r="AJ40" s="553">
        <v>93.75</v>
      </c>
      <c r="AL40" s="574"/>
      <c r="AM40" s="431">
        <f t="shared" ca="1" si="0"/>
        <v>3257.81</v>
      </c>
      <c r="AN40" s="617">
        <f t="shared" ca="1" si="23"/>
        <v>34.75</v>
      </c>
    </row>
    <row r="41" spans="1:40" ht="38.25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5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>F</v>
      </c>
      <c r="M41" s="145" t="s">
        <v>198</v>
      </c>
      <c r="N41" s="146" t="str">
        <f t="shared" ca="1" si="11"/>
        <v>Serviço</v>
      </c>
      <c r="O41" s="147" t="str">
        <f t="shared" ca="1" si="12"/>
        <v>1.3.5.</v>
      </c>
      <c r="P41" s="148" t="s">
        <v>246</v>
      </c>
      <c r="Q41" s="149" t="s">
        <v>470</v>
      </c>
      <c r="R41" s="150" t="str">
        <f t="shared" ca="1" si="24"/>
        <v>EMBOÇO OU MASSA ÚNICA EM ARGAMASSA TRAÇO 1:2:8, PREPARO MANUAL, APLICADA MANUALMENTE EM PANOS DE FACHADA COM PRESENÇA DE VÃOS, ESPESSURA DE 25 MM. AF_06/2014</v>
      </c>
      <c r="S41" s="151" t="str">
        <f t="shared" ca="1" si="13"/>
        <v>M2</v>
      </c>
      <c r="T41" s="152">
        <f ca="1">OFFSET(CÁLCULO!H$15,ROW($T41)-ROW(T$15),0)</f>
        <v>60</v>
      </c>
      <c r="U41" s="153">
        <v>45.18</v>
      </c>
      <c r="V41" s="154" t="s">
        <v>155</v>
      </c>
      <c r="W41" s="152">
        <f t="shared" ca="1" si="14"/>
        <v>57.54</v>
      </c>
      <c r="X41" s="155">
        <f t="shared" ca="1" si="15"/>
        <v>3452.4</v>
      </c>
      <c r="Y41" s="156" t="s">
        <v>244</v>
      </c>
      <c r="Z41" t="str">
        <f t="shared" ca="1" si="16"/>
        <v>RA</v>
      </c>
      <c r="AA41" s="157">
        <f ca="1">IF($C41="S",IF($Z41="CP",$X41,IF($Z41="RA",(($X41)*QCI!$AA$3),0)),SomaAgrup)</f>
        <v>3452.4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str">
        <f t="shared" ca="1" si="19"/>
        <v>SINAPI 87777</v>
      </c>
      <c r="AF41" s="160">
        <f t="shared" ca="1" si="20"/>
        <v>5523</v>
      </c>
      <c r="AG41" s="550">
        <f t="shared" ca="1" si="21"/>
        <v>45.18</v>
      </c>
      <c r="AH41" s="551">
        <f t="shared" ca="1" si="22"/>
        <v>0.27350000000000002</v>
      </c>
      <c r="AJ41" s="553">
        <v>60</v>
      </c>
      <c r="AL41" s="574"/>
      <c r="AM41" s="431">
        <f t="shared" ca="1" si="0"/>
        <v>3452.4</v>
      </c>
      <c r="AN41" s="617">
        <f t="shared" ca="1" si="23"/>
        <v>57.54</v>
      </c>
    </row>
    <row r="42" spans="1:40" ht="5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3</v>
      </c>
      <c r="G42">
        <f t="shared" ca="1" si="6"/>
        <v>0</v>
      </c>
      <c r="H42">
        <f t="shared" ca="1" si="7"/>
        <v>0</v>
      </c>
      <c r="I42">
        <f t="shared" ca="1" si="8"/>
        <v>6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>F</v>
      </c>
      <c r="M42" s="145" t="s">
        <v>198</v>
      </c>
      <c r="N42" s="146" t="str">
        <f t="shared" ca="1" si="11"/>
        <v>Serviço</v>
      </c>
      <c r="O42" s="147" t="str">
        <f t="shared" ca="1" si="12"/>
        <v>1.3.6.</v>
      </c>
      <c r="P42" s="148" t="s">
        <v>246</v>
      </c>
      <c r="Q42" s="149" t="s">
        <v>471</v>
      </c>
      <c r="R42" s="150" t="str">
        <f t="shared" ca="1" si="24"/>
        <v>REVESTIMENTO CERÂMICO PARA PAREDES INTERNAS COM PLACAS TIPO ESMALTADA EXTRA DE DIMENSÕES 20X20 CM APLICADAS EM AMBIENTES DE ÁREA MENOR QUE 5 M² A MEIA ALTURA DAS PAREDES. AF_06/2014</v>
      </c>
      <c r="S42" s="151" t="str">
        <f t="shared" ca="1" si="13"/>
        <v>M2</v>
      </c>
      <c r="T42" s="152">
        <f ca="1">OFFSET(CÁLCULO!H$15,ROW($T42)-ROW(T$15),0)</f>
        <v>58</v>
      </c>
      <c r="U42" s="153">
        <v>46.51</v>
      </c>
      <c r="V42" s="154" t="s">
        <v>155</v>
      </c>
      <c r="W42" s="152">
        <f t="shared" ca="1" si="14"/>
        <v>59.23</v>
      </c>
      <c r="X42" s="155">
        <f t="shared" ca="1" si="15"/>
        <v>3435.34</v>
      </c>
      <c r="Y42" s="156" t="s">
        <v>244</v>
      </c>
      <c r="Z42" t="str">
        <f t="shared" ca="1" si="16"/>
        <v>RA</v>
      </c>
      <c r="AA42" s="157">
        <f ca="1">IF($C42="S",IF($Z42="CP",$X42,IF($Z42="RA",(($X42)*QCI!$AA$3),0)),SomaAgrup)</f>
        <v>3435.34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str">
        <f t="shared" ca="1" si="19"/>
        <v>SINAPI 87266</v>
      </c>
      <c r="AF42" s="160">
        <f t="shared" ca="1" si="20"/>
        <v>5603</v>
      </c>
      <c r="AG42" s="550">
        <f t="shared" ca="1" si="21"/>
        <v>46.51</v>
      </c>
      <c r="AH42" s="551">
        <f t="shared" ca="1" si="22"/>
        <v>0.27350000000000002</v>
      </c>
      <c r="AJ42" s="553">
        <v>58</v>
      </c>
      <c r="AL42" s="574"/>
      <c r="AM42" s="431">
        <f t="shared" ca="1" si="0"/>
        <v>3435.34</v>
      </c>
      <c r="AN42" s="617">
        <f t="shared" ca="1" si="23"/>
        <v>59.23</v>
      </c>
    </row>
    <row r="43" spans="1:40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3</v>
      </c>
      <c r="G43">
        <f t="shared" ca="1" si="6"/>
        <v>0</v>
      </c>
      <c r="H43">
        <f t="shared" ca="1" si="7"/>
        <v>0</v>
      </c>
      <c r="I43">
        <f t="shared" ca="1" si="8"/>
        <v>7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1.3.7.</v>
      </c>
      <c r="P43" s="148" t="s">
        <v>452</v>
      </c>
      <c r="Q43" s="658" t="s">
        <v>535</v>
      </c>
      <c r="R43" s="150" t="str">
        <f ca="1">IF($C43="S",REFERENCIA.Descricao,"(digite a descrição aqui)")</f>
        <v>REJUNTE COLORIDO, CIMENTICIO</v>
      </c>
      <c r="S43" s="151" t="str">
        <f t="shared" ca="1" si="13"/>
        <v xml:space="preserve">KG    </v>
      </c>
      <c r="T43" s="152">
        <f ca="1">OFFSET(CÁLCULO!H$15,ROW($T43)-ROW(T$15),0)</f>
        <v>23</v>
      </c>
      <c r="U43" s="153">
        <v>2.99</v>
      </c>
      <c r="V43" s="154" t="s">
        <v>155</v>
      </c>
      <c r="W43" s="152">
        <f t="shared" ca="1" si="14"/>
        <v>3.81</v>
      </c>
      <c r="X43" s="155">
        <f t="shared" ca="1" si="15"/>
        <v>87.63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87.63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SINAPI-I 34357</v>
      </c>
      <c r="AF43" s="160">
        <f t="shared" ca="1" si="20"/>
        <v>10375</v>
      </c>
      <c r="AG43" s="550">
        <f t="shared" ca="1" si="21"/>
        <v>2.99</v>
      </c>
      <c r="AH43" s="551">
        <f t="shared" ca="1" si="22"/>
        <v>0.27350000000000002</v>
      </c>
      <c r="AJ43" s="553">
        <v>23</v>
      </c>
      <c r="AL43" s="574"/>
      <c r="AM43" s="431">
        <f t="shared" ca="1" si="0"/>
        <v>87.63</v>
      </c>
      <c r="AN43" s="617">
        <f t="shared" ca="1" si="23"/>
        <v>3.81</v>
      </c>
    </row>
    <row r="44" spans="1:40" ht="5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3</v>
      </c>
      <c r="G44">
        <f t="shared" ca="1" si="6"/>
        <v>0</v>
      </c>
      <c r="H44">
        <f t="shared" ca="1" si="7"/>
        <v>0</v>
      </c>
      <c r="I44">
        <f t="shared" ca="1" si="8"/>
        <v>8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1.3.8.</v>
      </c>
      <c r="P44" s="148" t="s">
        <v>246</v>
      </c>
      <c r="Q44" s="149" t="s">
        <v>472</v>
      </c>
      <c r="R44" s="150" t="str">
        <f t="shared" ca="1" si="24"/>
        <v>(COMPOSIÇÃO REPRESENTATIVA) DO SERVIÇO DE REVESTIMENTO CERÂMICO PARA PISO COM PLACAS TIPO GRÉS DE DIMENSÕES 35X35 CM, PARA EDIFICAÇÃO HABITACIONAL UNIFAMILIAR (CASA) E EDIFICAÇÃO PÚBLICA PADRÃO. AF_11/2014</v>
      </c>
      <c r="S44" s="151" t="str">
        <f t="shared" ca="1" si="13"/>
        <v>M2</v>
      </c>
      <c r="T44" s="152">
        <f ca="1">OFFSET(CÁLCULO!H$15,ROW($T44)-ROW(T$15),0)</f>
        <v>31.22</v>
      </c>
      <c r="U44" s="153">
        <v>30.11</v>
      </c>
      <c r="V44" s="154" t="s">
        <v>155</v>
      </c>
      <c r="W44" s="152">
        <f t="shared" ca="1" si="14"/>
        <v>38.35</v>
      </c>
      <c r="X44" s="155">
        <f t="shared" ca="1" si="15"/>
        <v>1197.29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1197.29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89171</v>
      </c>
      <c r="AF44" s="160">
        <f t="shared" ca="1" si="20"/>
        <v>5309</v>
      </c>
      <c r="AG44" s="550">
        <f t="shared" ca="1" si="21"/>
        <v>30.11</v>
      </c>
      <c r="AH44" s="551">
        <f t="shared" ca="1" si="22"/>
        <v>0.27350000000000002</v>
      </c>
      <c r="AJ44" s="553">
        <v>31.22</v>
      </c>
      <c r="AL44" s="574"/>
      <c r="AM44" s="431">
        <f t="shared" ca="1" si="0"/>
        <v>1197.29</v>
      </c>
      <c r="AN44" s="617">
        <f t="shared" ca="1" si="23"/>
        <v>38.35</v>
      </c>
    </row>
    <row r="45" spans="1:40" ht="38.2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3</v>
      </c>
      <c r="G45">
        <f t="shared" ca="1" si="6"/>
        <v>0</v>
      </c>
      <c r="H45">
        <f t="shared" ca="1" si="7"/>
        <v>0</v>
      </c>
      <c r="I45">
        <f t="shared" ca="1" si="8"/>
        <v>9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1.3.9.</v>
      </c>
      <c r="P45" s="148" t="s">
        <v>246</v>
      </c>
      <c r="Q45" s="149" t="s">
        <v>473</v>
      </c>
      <c r="R45" s="150" t="str">
        <f t="shared" ca="1" si="24"/>
        <v>APLICAÇÃO MANUAL DE PINTURA COM TINTA TEXTURIZADA ACRÍLICA EM PANOS CEGOS DE FACHADA (SEM PRESENÇA DE VÃOS) DE EDIFÍCIOS DE MÚLTIPLOS PAVIMENTOS, UMA COR. AF_06/2014</v>
      </c>
      <c r="S45" s="151" t="str">
        <f t="shared" ca="1" si="13"/>
        <v>M2</v>
      </c>
      <c r="T45" s="152">
        <f ca="1">OFFSET(CÁLCULO!H$15,ROW($T45)-ROW(T$15),0)</f>
        <v>60</v>
      </c>
      <c r="U45" s="153">
        <v>12.84</v>
      </c>
      <c r="V45" s="154" t="s">
        <v>155</v>
      </c>
      <c r="W45" s="152">
        <f t="shared" ca="1" si="14"/>
        <v>16.350000000000001</v>
      </c>
      <c r="X45" s="155">
        <f t="shared" ca="1" si="15"/>
        <v>981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981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88417</v>
      </c>
      <c r="AF45" s="160">
        <f t="shared" ca="1" si="20"/>
        <v>5183</v>
      </c>
      <c r="AG45" s="550">
        <f t="shared" ca="1" si="21"/>
        <v>12.84</v>
      </c>
      <c r="AH45" s="551">
        <f t="shared" ca="1" si="22"/>
        <v>0.27350000000000002</v>
      </c>
      <c r="AJ45" s="553">
        <v>60</v>
      </c>
      <c r="AL45" s="574"/>
      <c r="AM45" s="431">
        <f t="shared" ca="1" si="0"/>
        <v>981</v>
      </c>
      <c r="AN45" s="617">
        <f t="shared" ca="1" si="23"/>
        <v>16.350000000000001</v>
      </c>
    </row>
    <row r="46" spans="1:40" ht="25.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3</v>
      </c>
      <c r="G46">
        <f t="shared" ca="1" si="6"/>
        <v>0</v>
      </c>
      <c r="H46">
        <f t="shared" ca="1" si="7"/>
        <v>0</v>
      </c>
      <c r="I46">
        <f t="shared" ca="1" si="8"/>
        <v>10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1.3.10.</v>
      </c>
      <c r="P46" s="148" t="s">
        <v>452</v>
      </c>
      <c r="Q46" s="149" t="s">
        <v>474</v>
      </c>
      <c r="R46" s="150" t="str">
        <f t="shared" ca="1" si="24"/>
        <v>SOLEIRA/ PEITORIL EM MARMORE, POLIDO, BRANCO COMUM, L= *15* CM, E=  *2* CM,  CORTE RETO</v>
      </c>
      <c r="S46" s="151" t="str">
        <f t="shared" ca="1" si="13"/>
        <v xml:space="preserve">M     </v>
      </c>
      <c r="T46" s="152">
        <f ca="1">OFFSET(CÁLCULO!H$15,ROW($T46)-ROW(T$15),0)</f>
        <v>8</v>
      </c>
      <c r="U46" s="153">
        <v>43.1</v>
      </c>
      <c r="V46" s="154" t="s">
        <v>155</v>
      </c>
      <c r="W46" s="152">
        <f t="shared" ca="1" si="14"/>
        <v>54.89</v>
      </c>
      <c r="X46" s="155">
        <f t="shared" ca="1" si="15"/>
        <v>439.12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439.12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SINAPI-I 4828</v>
      </c>
      <c r="AF46" s="160">
        <f t="shared" ca="1" si="20"/>
        <v>10514</v>
      </c>
      <c r="AG46" s="550">
        <f t="shared" ca="1" si="21"/>
        <v>43.1</v>
      </c>
      <c r="AH46" s="551">
        <f t="shared" ca="1" si="22"/>
        <v>0.27350000000000002</v>
      </c>
      <c r="AJ46" s="553">
        <v>8</v>
      </c>
      <c r="AL46" s="574"/>
      <c r="AM46" s="431">
        <f t="shared" ca="1" si="0"/>
        <v>439.12</v>
      </c>
      <c r="AN46" s="617">
        <f t="shared" ca="1" si="23"/>
        <v>54.89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3</v>
      </c>
      <c r="G47">
        <f t="shared" ca="1" si="6"/>
        <v>0</v>
      </c>
      <c r="H47">
        <f t="shared" ca="1" si="7"/>
        <v>0</v>
      </c>
      <c r="I47">
        <f t="shared" ca="1" si="8"/>
        <v>10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0.27350000000000002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x14ac:dyDescent="0.2">
      <c r="A48">
        <f t="shared" si="1"/>
        <v>2</v>
      </c>
      <c r="B48">
        <f t="shared" ca="1" si="2"/>
        <v>2</v>
      </c>
      <c r="C48">
        <f t="shared" ca="1" si="3"/>
        <v>2</v>
      </c>
      <c r="D48">
        <f t="shared" ca="1" si="4"/>
        <v>8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0</v>
      </c>
      <c r="J48">
        <f t="shared" ca="1" si="9"/>
        <v>43</v>
      </c>
      <c r="K48">
        <f ca="1">IF(OR($C48="S",$C48=0),0,MATCH(OFFSET($D48,0,$C48)+IF($C48&lt;&gt;1,1,COUNTIF(QCI!$A$13:$A$24,ORÇAMENTO!E48)),OFFSET($D48,1,$C48,ROW($C$266)-ROW($C48)),0))</f>
        <v>8</v>
      </c>
      <c r="L48" s="144" t="str">
        <f t="shared" ca="1" si="10"/>
        <v>F</v>
      </c>
      <c r="M48" s="145" t="s">
        <v>195</v>
      </c>
      <c r="N48" s="146" t="str">
        <f t="shared" ca="1" si="11"/>
        <v>Nível 2</v>
      </c>
      <c r="O48" s="147" t="str">
        <f t="shared" ca="1" si="12"/>
        <v>1.4.</v>
      </c>
      <c r="P48" s="148" t="s">
        <v>246</v>
      </c>
      <c r="Q48" s="149"/>
      <c r="R48" s="150" t="str">
        <f ca="1">IF($C48="S",REFERENCIA.Descricao,"(ESQUADRIAS METALICAS/PORTAS DE MADEIRA)")</f>
        <v>(ESQUADRIAS METALICAS/PORTAS DE MADEIRA)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3167.21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3167.21</v>
      </c>
      <c r="AB48" s="158">
        <f t="shared" ca="1" si="17"/>
        <v>0</v>
      </c>
      <c r="AC48" s="159" t="str">
        <f t="shared" ca="1" si="18"/>
        <v/>
      </c>
      <c r="AD48" s="105">
        <f ca="1">IF(C48&lt;=CRONO.NivelExibicao,MAX($AD$15:OFFSET(AD48,-1,0))+IF($C48&lt;&gt;1,1,MAX(1,COUNTIF(QCI!$A$13:$A$24,OFFSET($E48,-1,0)))),"")</f>
        <v>5</v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0.27350000000000002</v>
      </c>
      <c r="AJ48" s="553"/>
      <c r="AL48" s="574"/>
      <c r="AM48" s="431">
        <f t="shared" ca="1" si="0"/>
        <v>3167.21</v>
      </c>
      <c r="AN48" s="617">
        <f t="shared" ca="1" si="23"/>
        <v>0</v>
      </c>
    </row>
    <row r="49" spans="1:40" ht="38.2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1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1.4.1.</v>
      </c>
      <c r="P49" s="148" t="s">
        <v>246</v>
      </c>
      <c r="Q49" s="149" t="s">
        <v>475</v>
      </c>
      <c r="R49" s="150" t="str">
        <f t="shared" ca="1" si="24"/>
        <v>JANELA DE ALUMÍNIO TIPO MAXIM-AR, COM VIDROS, BATENTE E FERRAGENS. EXCLUSIVE ALIZAR, ACABAMENTO E CONTRAMARCO. FORNECIMENTO E INSTALAÇÃO. AF_12/2019</v>
      </c>
      <c r="S49" s="151" t="str">
        <f t="shared" ca="1" si="13"/>
        <v>M2</v>
      </c>
      <c r="T49" s="152">
        <f ca="1">OFFSET(CÁLCULO!H$15,ROW($T49)-ROW(T$15),0)</f>
        <v>0.48</v>
      </c>
      <c r="U49" s="153">
        <v>388.35</v>
      </c>
      <c r="V49" s="154" t="s">
        <v>155</v>
      </c>
      <c r="W49" s="152">
        <f t="shared" ca="1" si="14"/>
        <v>494.56</v>
      </c>
      <c r="X49" s="155">
        <f t="shared" ca="1" si="15"/>
        <v>237.39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237.39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94569</v>
      </c>
      <c r="AF49" s="160">
        <f t="shared" ca="1" si="20"/>
        <v>1840</v>
      </c>
      <c r="AG49" s="550">
        <f t="shared" ca="1" si="21"/>
        <v>388.35</v>
      </c>
      <c r="AH49" s="551">
        <f t="shared" ca="1" si="22"/>
        <v>0.27350000000000002</v>
      </c>
      <c r="AJ49" s="553">
        <v>0.48</v>
      </c>
      <c r="AL49" s="574"/>
      <c r="AM49" s="431">
        <f t="shared" ca="1" si="0"/>
        <v>237.39</v>
      </c>
      <c r="AN49" s="617">
        <f t="shared" ca="1" si="23"/>
        <v>494.56</v>
      </c>
    </row>
    <row r="50" spans="1:40" ht="38.25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4</v>
      </c>
      <c r="G50">
        <f t="shared" ca="1" si="6"/>
        <v>0</v>
      </c>
      <c r="H50">
        <f t="shared" ca="1" si="7"/>
        <v>0</v>
      </c>
      <c r="I50">
        <f t="shared" ca="1" si="8"/>
        <v>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>F</v>
      </c>
      <c r="M50" s="145" t="s">
        <v>198</v>
      </c>
      <c r="N50" s="146" t="str">
        <f t="shared" ca="1" si="11"/>
        <v>Serviço</v>
      </c>
      <c r="O50" s="147" t="str">
        <f t="shared" ca="1" si="12"/>
        <v>1.4.2.</v>
      </c>
      <c r="P50" s="148" t="s">
        <v>452</v>
      </c>
      <c r="Q50" s="149" t="s">
        <v>476</v>
      </c>
      <c r="R50" s="150" t="str">
        <f t="shared" ca="1" si="24"/>
        <v>JANELA BASCULANTE EM ALUMINIO, 100 X 80 CM (A X L), ACABAMENTO ACET OU BRILHANTE, BATENTE/REQUADRO DE 3 A 14 CM, COM VIDRO, SEM GUARNICAO/ALIZAR</v>
      </c>
      <c r="S50" s="151" t="str">
        <f t="shared" ca="1" si="13"/>
        <v xml:space="preserve">UN    </v>
      </c>
      <c r="T50" s="152">
        <f ca="1">OFFSET(CÁLCULO!H$15,ROW($T50)-ROW(T$15),0)</f>
        <v>3</v>
      </c>
      <c r="U50" s="153">
        <v>168.03</v>
      </c>
      <c r="V50" s="154" t="s">
        <v>155</v>
      </c>
      <c r="W50" s="152">
        <f t="shared" ca="1" si="14"/>
        <v>213.99</v>
      </c>
      <c r="X50" s="155">
        <f t="shared" ca="1" si="15"/>
        <v>641.97</v>
      </c>
      <c r="Y50" s="156" t="s">
        <v>244</v>
      </c>
      <c r="Z50" t="str">
        <f t="shared" ca="1" si="16"/>
        <v>RA</v>
      </c>
      <c r="AA50" s="157">
        <f ca="1">IF($C50="S",IF($Z50="CP",$X50,IF($Z50="RA",(($X50)*QCI!$AA$3),0)),SomaAgrup)</f>
        <v>641.97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str">
        <f t="shared" ca="1" si="19"/>
        <v>SINAPI-I 34378</v>
      </c>
      <c r="AF50" s="160">
        <f t="shared" ca="1" si="20"/>
        <v>8857</v>
      </c>
      <c r="AG50" s="550">
        <f t="shared" ca="1" si="21"/>
        <v>168.03</v>
      </c>
      <c r="AH50" s="551">
        <f t="shared" ca="1" si="22"/>
        <v>0.27350000000000002</v>
      </c>
      <c r="AJ50" s="553">
        <v>3</v>
      </c>
      <c r="AL50" s="574"/>
      <c r="AM50" s="431">
        <f t="shared" ca="1" si="0"/>
        <v>641.97</v>
      </c>
      <c r="AN50" s="617">
        <f t="shared" ca="1" si="23"/>
        <v>213.99</v>
      </c>
    </row>
    <row r="51" spans="1:40" ht="38.25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4</v>
      </c>
      <c r="G51">
        <f t="shared" ca="1" si="6"/>
        <v>0</v>
      </c>
      <c r="H51">
        <f t="shared" ca="1" si="7"/>
        <v>0</v>
      </c>
      <c r="I51">
        <f t="shared" ca="1" si="8"/>
        <v>3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1.4.3.</v>
      </c>
      <c r="P51" s="148" t="s">
        <v>246</v>
      </c>
      <c r="Q51" s="149" t="s">
        <v>477</v>
      </c>
      <c r="R51" s="150" t="str">
        <f t="shared" ca="1" si="24"/>
        <v>PORTA DE MADEIRA PARA PINTURA, SEMI-OCA (LEVE OU MÉDIA), 80X210CM, ESPESSURA DE 3,5CM, INCLUSO DOBRADIÇAS - FORNECIMENTO E INSTALAÇÃO. AF_12/2019</v>
      </c>
      <c r="S51" s="151" t="str">
        <f t="shared" ca="1" si="13"/>
        <v>UN</v>
      </c>
      <c r="T51" s="152">
        <f ca="1">OFFSET(CÁLCULO!H$15,ROW($T51)-ROW(T$15),0)</f>
        <v>5</v>
      </c>
      <c r="U51" s="153">
        <v>282.86</v>
      </c>
      <c r="V51" s="154" t="s">
        <v>155</v>
      </c>
      <c r="W51" s="152">
        <f t="shared" ca="1" si="14"/>
        <v>360.22</v>
      </c>
      <c r="X51" s="155">
        <f t="shared" ca="1" si="15"/>
        <v>1801.1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1801.1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SINAPI 90822</v>
      </c>
      <c r="AF51" s="160">
        <f t="shared" ca="1" si="20"/>
        <v>1700</v>
      </c>
      <c r="AG51" s="550">
        <f t="shared" ca="1" si="21"/>
        <v>282.86</v>
      </c>
      <c r="AH51" s="551">
        <f t="shared" ca="1" si="22"/>
        <v>0.27350000000000002</v>
      </c>
      <c r="AJ51" s="553">
        <v>5</v>
      </c>
      <c r="AL51" s="574"/>
      <c r="AM51" s="431">
        <f t="shared" ca="1" si="0"/>
        <v>1801.1</v>
      </c>
      <c r="AN51" s="617">
        <f t="shared" ca="1" si="23"/>
        <v>360.22</v>
      </c>
    </row>
    <row r="52" spans="1:40" ht="25.5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4</v>
      </c>
      <c r="G52">
        <f t="shared" ca="1" si="6"/>
        <v>0</v>
      </c>
      <c r="H52">
        <f t="shared" ca="1" si="7"/>
        <v>0</v>
      </c>
      <c r="I52">
        <f t="shared" ca="1" si="8"/>
        <v>4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>F</v>
      </c>
      <c r="M52" s="145" t="s">
        <v>198</v>
      </c>
      <c r="N52" s="146" t="str">
        <f t="shared" ca="1" si="11"/>
        <v>Serviço</v>
      </c>
      <c r="O52" s="147" t="str">
        <f t="shared" ca="1" si="12"/>
        <v>1.4.4.</v>
      </c>
      <c r="P52" s="148" t="s">
        <v>452</v>
      </c>
      <c r="Q52" s="149" t="s">
        <v>478</v>
      </c>
      <c r="R52" s="150" t="str">
        <f t="shared" ca="1" si="24"/>
        <v>PORTA VIDRO TEMPERADO INCOLOR, 2 FOLHAS DE CORRER, E = 10 MM (SEM FERRAGENS E SEM COLOCACAO)</v>
      </c>
      <c r="S52" s="151" t="str">
        <f t="shared" ca="1" si="13"/>
        <v xml:space="preserve">M2    </v>
      </c>
      <c r="T52" s="152">
        <f ca="1">OFFSET(CÁLCULO!H$15,ROW($T52)-ROW(T$15),0)</f>
        <v>1.68</v>
      </c>
      <c r="U52" s="153">
        <v>227.51</v>
      </c>
      <c r="V52" s="154" t="s">
        <v>155</v>
      </c>
      <c r="W52" s="152">
        <f t="shared" ca="1" si="14"/>
        <v>289.73</v>
      </c>
      <c r="X52" s="155">
        <f t="shared" ca="1" si="15"/>
        <v>486.75</v>
      </c>
      <c r="Y52" s="156" t="s">
        <v>244</v>
      </c>
      <c r="Z52" t="str">
        <f t="shared" ca="1" si="16"/>
        <v>RA</v>
      </c>
      <c r="AA52" s="157">
        <f ca="1">IF($C52="S",IF($Z52="CP",$X52,IF($Z52="RA",(($X52)*QCI!$AA$3),0)),SomaAgrup)</f>
        <v>486.75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str">
        <f t="shared" ca="1" si="19"/>
        <v>SINAPI-I 34713</v>
      </c>
      <c r="AF52" s="160">
        <f t="shared" ca="1" si="20"/>
        <v>10157</v>
      </c>
      <c r="AG52" s="550">
        <f t="shared" ca="1" si="21"/>
        <v>227.51</v>
      </c>
      <c r="AH52" s="551">
        <f t="shared" ca="1" si="22"/>
        <v>0.27350000000000002</v>
      </c>
      <c r="AJ52" s="553">
        <v>1.68</v>
      </c>
      <c r="AL52" s="574"/>
      <c r="AM52" s="431">
        <f t="shared" ca="1" si="0"/>
        <v>486.75</v>
      </c>
      <c r="AN52" s="617">
        <f t="shared" ca="1" si="23"/>
        <v>289.73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4</v>
      </c>
      <c r="G53">
        <f t="shared" ca="1" si="6"/>
        <v>0</v>
      </c>
      <c r="H53">
        <f t="shared" ca="1" si="7"/>
        <v>0</v>
      </c>
      <c r="I53">
        <f t="shared" ca="1" si="8"/>
        <v>4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0.27350000000000002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4</v>
      </c>
      <c r="G54">
        <f t="shared" ca="1" si="6"/>
        <v>0</v>
      </c>
      <c r="H54">
        <f t="shared" ca="1" si="7"/>
        <v>0</v>
      </c>
      <c r="I54">
        <f t="shared" ca="1" si="8"/>
        <v>4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0.27350000000000002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4</v>
      </c>
      <c r="G55">
        <f t="shared" ca="1" si="6"/>
        <v>0</v>
      </c>
      <c r="H55">
        <f t="shared" ca="1" si="7"/>
        <v>0</v>
      </c>
      <c r="I55">
        <f t="shared" ca="1" si="8"/>
        <v>4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0.27350000000000002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x14ac:dyDescent="0.2">
      <c r="A56">
        <f t="shared" si="1"/>
        <v>2</v>
      </c>
      <c r="B56">
        <f t="shared" ca="1" si="2"/>
        <v>2</v>
      </c>
      <c r="C56">
        <f t="shared" ca="1" si="3"/>
        <v>2</v>
      </c>
      <c r="D56">
        <f t="shared" ca="1" si="4"/>
        <v>15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0</v>
      </c>
      <c r="J56">
        <f t="shared" ca="1" si="9"/>
        <v>35</v>
      </c>
      <c r="K56">
        <f ca="1">IF(OR($C56="S",$C56=0),0,MATCH(OFFSET($D56,0,$C56)+IF($C56&lt;&gt;1,1,COUNTIF(QCI!$A$13:$A$24,ORÇAMENTO!E56)),OFFSET($D56,1,$C56,ROW($C$266)-ROW($C56)),0))</f>
        <v>15</v>
      </c>
      <c r="L56" s="144" t="str">
        <f t="shared" ca="1" si="10"/>
        <v>F</v>
      </c>
      <c r="M56" s="145" t="s">
        <v>195</v>
      </c>
      <c r="N56" s="146" t="str">
        <f t="shared" ca="1" si="11"/>
        <v>Nível 2</v>
      </c>
      <c r="O56" s="147" t="str">
        <f t="shared" ca="1" si="12"/>
        <v>1.5.</v>
      </c>
      <c r="P56" s="148" t="s">
        <v>246</v>
      </c>
      <c r="Q56" s="149"/>
      <c r="R56" s="150" t="str">
        <f ca="1">IF($C56="S",REFERENCIA.Descricao,"(INSTALAÇÕES ELETRICAS)")</f>
        <v>(INSTALAÇÕES ELETRICAS)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2347.87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2347.87</v>
      </c>
      <c r="AB56" s="158">
        <f t="shared" ca="1" si="17"/>
        <v>0</v>
      </c>
      <c r="AC56" s="159" t="str">
        <f t="shared" ca="1" si="18"/>
        <v/>
      </c>
      <c r="AD56" s="105">
        <f ca="1">IF(C56&lt;=CRONO.NivelExibicao,MAX($AD$15:OFFSET(AD56,-1,0))+IF($C56&lt;&gt;1,1,MAX(1,COUNTIF(QCI!$A$13:$A$24,OFFSET($E56,-1,0)))),"")</f>
        <v>6</v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0.27350000000000002</v>
      </c>
      <c r="AJ56" s="553"/>
      <c r="AL56" s="574"/>
      <c r="AM56" s="431">
        <f t="shared" ca="1" si="0"/>
        <v>2347.87</v>
      </c>
      <c r="AN56" s="617">
        <f t="shared" ca="1" si="23"/>
        <v>0</v>
      </c>
    </row>
    <row r="57" spans="1:40" ht="25.5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>F</v>
      </c>
      <c r="M57" s="145" t="s">
        <v>198</v>
      </c>
      <c r="N57" s="146" t="str">
        <f t="shared" ca="1" si="11"/>
        <v>Serviço</v>
      </c>
      <c r="O57" s="147" t="str">
        <f t="shared" ca="1" si="12"/>
        <v>1.5.1.</v>
      </c>
      <c r="P57" s="148" t="s">
        <v>452</v>
      </c>
      <c r="Q57" s="149" t="s">
        <v>479</v>
      </c>
      <c r="R57" s="150" t="str">
        <f t="shared" ca="1" si="24"/>
        <v>FIO DE COBRE, SOLIDO, CLASSE 1, ISOLACAO EM PVC/A, ANTICHAMA BWF-B, 450/750V, SECAO NOMINAL 2,5 MM2</v>
      </c>
      <c r="S57" s="151" t="str">
        <f t="shared" ca="1" si="13"/>
        <v xml:space="preserve">M     </v>
      </c>
      <c r="T57" s="152">
        <f ca="1">OFFSET(CÁLCULO!H$15,ROW($T57)-ROW(T$15),0)</f>
        <v>102</v>
      </c>
      <c r="U57" s="153">
        <v>1.18</v>
      </c>
      <c r="V57" s="154" t="s">
        <v>155</v>
      </c>
      <c r="W57" s="152">
        <f t="shared" ca="1" si="14"/>
        <v>1.5</v>
      </c>
      <c r="X57" s="155">
        <f t="shared" ca="1" si="15"/>
        <v>153</v>
      </c>
      <c r="Y57" s="156" t="s">
        <v>244</v>
      </c>
      <c r="Z57" t="str">
        <f t="shared" ca="1" si="16"/>
        <v>RA</v>
      </c>
      <c r="AA57" s="157">
        <f ca="1">IF($C57="S",IF($Z57="CP",$X57,IF($Z57="RA",(($X57)*QCI!$AA$3),0)),SomaAgrup)</f>
        <v>153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str">
        <f t="shared" ca="1" si="19"/>
        <v>SINAPI-I 939</v>
      </c>
      <c r="AF57" s="160">
        <f t="shared" ca="1" si="20"/>
        <v>8597</v>
      </c>
      <c r="AG57" s="550">
        <f t="shared" ca="1" si="21"/>
        <v>1.18</v>
      </c>
      <c r="AH57" s="551">
        <f t="shared" ca="1" si="22"/>
        <v>0.27350000000000002</v>
      </c>
      <c r="AJ57" s="553">
        <v>102</v>
      </c>
      <c r="AL57" s="574"/>
      <c r="AM57" s="431">
        <f t="shared" ca="1" si="0"/>
        <v>153</v>
      </c>
      <c r="AN57" s="617">
        <f t="shared" ca="1" si="23"/>
        <v>1.5</v>
      </c>
    </row>
    <row r="58" spans="1:40" ht="25.5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>F</v>
      </c>
      <c r="M58" s="145" t="s">
        <v>198</v>
      </c>
      <c r="N58" s="146" t="str">
        <f t="shared" ca="1" si="11"/>
        <v>Serviço</v>
      </c>
      <c r="O58" s="147" t="str">
        <f t="shared" ca="1" si="12"/>
        <v>1.5.2.</v>
      </c>
      <c r="P58" s="148" t="s">
        <v>452</v>
      </c>
      <c r="Q58" s="149" t="s">
        <v>480</v>
      </c>
      <c r="R58" s="150" t="str">
        <f t="shared" ca="1" si="24"/>
        <v>FIO DE COBRE, SOLIDO, CLASSE 1, ISOLACAO EM PVC/A, ANTICHAMA BWF-B, 450/750V, SECAO NOMINAL 4 MM2</v>
      </c>
      <c r="S58" s="151" t="str">
        <f t="shared" ca="1" si="13"/>
        <v xml:space="preserve">M     </v>
      </c>
      <c r="T58" s="152">
        <f ca="1">OFFSET(CÁLCULO!H$15,ROW($T58)-ROW(T$15),0)</f>
        <v>190</v>
      </c>
      <c r="U58" s="153">
        <v>2.02</v>
      </c>
      <c r="V58" s="154" t="s">
        <v>155</v>
      </c>
      <c r="W58" s="152">
        <f t="shared" ca="1" si="14"/>
        <v>2.57</v>
      </c>
      <c r="X58" s="155">
        <f t="shared" ca="1" si="15"/>
        <v>488.3</v>
      </c>
      <c r="Y58" s="156" t="s">
        <v>244</v>
      </c>
      <c r="Z58" t="str">
        <f t="shared" ca="1" si="16"/>
        <v>RA</v>
      </c>
      <c r="AA58" s="157">
        <f ca="1">IF($C58="S",IF($Z58="CP",$X58,IF($Z58="RA",(($X58)*QCI!$AA$3),0)),SomaAgrup)</f>
        <v>488.3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str">
        <f t="shared" ca="1" si="19"/>
        <v>SINAPI-I 944</v>
      </c>
      <c r="AF58" s="160">
        <f t="shared" ca="1" si="20"/>
        <v>8598</v>
      </c>
      <c r="AG58" s="550">
        <f t="shared" ca="1" si="21"/>
        <v>2.02</v>
      </c>
      <c r="AH58" s="551">
        <f t="shared" ca="1" si="22"/>
        <v>0.27350000000000002</v>
      </c>
      <c r="AJ58" s="553">
        <v>190</v>
      </c>
      <c r="AL58" s="574"/>
      <c r="AM58" s="431">
        <f t="shared" ca="1" si="0"/>
        <v>488.3</v>
      </c>
      <c r="AN58" s="617">
        <f t="shared" ca="1" si="23"/>
        <v>2.57</v>
      </c>
    </row>
    <row r="59" spans="1:40" ht="25.5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3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>F</v>
      </c>
      <c r="M59" s="145" t="s">
        <v>198</v>
      </c>
      <c r="N59" s="146" t="str">
        <f t="shared" ca="1" si="11"/>
        <v>Serviço</v>
      </c>
      <c r="O59" s="147" t="str">
        <f t="shared" ca="1" si="12"/>
        <v>1.5.3.</v>
      </c>
      <c r="P59" s="148" t="s">
        <v>452</v>
      </c>
      <c r="Q59" s="149" t="s">
        <v>481</v>
      </c>
      <c r="R59" s="150" t="str">
        <f t="shared" ca="1" si="24"/>
        <v>FIO DE COBRE, SOLIDO, CLASSE 1, ISOLACAO EM PVC/A, ANTICHAMA BWF-B, 450/750V, SECAO NOMINAL 6 MM2</v>
      </c>
      <c r="S59" s="151" t="str">
        <f t="shared" ca="1" si="13"/>
        <v xml:space="preserve">M     </v>
      </c>
      <c r="T59" s="152">
        <f ca="1">OFFSET(CÁLCULO!H$15,ROW($T59)-ROW(T$15),0)</f>
        <v>33</v>
      </c>
      <c r="U59" s="153">
        <v>2.79</v>
      </c>
      <c r="V59" s="154" t="s">
        <v>155</v>
      </c>
      <c r="W59" s="152">
        <f t="shared" ca="1" si="14"/>
        <v>3.55</v>
      </c>
      <c r="X59" s="155">
        <f t="shared" ca="1" si="15"/>
        <v>117.15</v>
      </c>
      <c r="Y59" s="156" t="s">
        <v>244</v>
      </c>
      <c r="Z59" t="str">
        <f t="shared" ca="1" si="16"/>
        <v>RA</v>
      </c>
      <c r="AA59" s="157">
        <f ca="1">IF($C59="S",IF($Z59="CP",$X59,IF($Z59="RA",(($X59)*QCI!$AA$3),0)),SomaAgrup)</f>
        <v>117.15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str">
        <f t="shared" ca="1" si="19"/>
        <v>SINAPI-I 940</v>
      </c>
      <c r="AF59" s="160">
        <f t="shared" ca="1" si="20"/>
        <v>8599</v>
      </c>
      <c r="AG59" s="550">
        <f t="shared" ca="1" si="21"/>
        <v>2.79</v>
      </c>
      <c r="AH59" s="551">
        <f t="shared" ca="1" si="22"/>
        <v>0.27350000000000002</v>
      </c>
      <c r="AJ59" s="553">
        <v>33</v>
      </c>
      <c r="AL59" s="574"/>
      <c r="AM59" s="431">
        <f t="shared" ca="1" si="0"/>
        <v>117.15</v>
      </c>
      <c r="AN59" s="617">
        <f t="shared" ca="1" si="23"/>
        <v>3.55</v>
      </c>
    </row>
    <row r="60" spans="1:40" ht="38.25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4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>F</v>
      </c>
      <c r="M60" s="145" t="s">
        <v>198</v>
      </c>
      <c r="N60" s="146" t="str">
        <f t="shared" ca="1" si="11"/>
        <v>Serviço</v>
      </c>
      <c r="O60" s="147" t="str">
        <f t="shared" ca="1" si="12"/>
        <v>1.5.4.</v>
      </c>
      <c r="P60" s="148" t="s">
        <v>452</v>
      </c>
      <c r="Q60" s="149" t="s">
        <v>482</v>
      </c>
      <c r="R60" s="150" t="str">
        <f t="shared" ca="1" si="24"/>
        <v>INTERRUPTOR SIMPLES + INTERRUPTOR PARALELO 10A, 250V, CONJUNTO MONTADO PARA EMBUTIR 4" X 2" (PLACA + SUPORTE + MODULOS)</v>
      </c>
      <c r="S60" s="151" t="str">
        <f t="shared" ca="1" si="13"/>
        <v xml:space="preserve">UN    </v>
      </c>
      <c r="T60" s="152">
        <f ca="1">OFFSET(CÁLCULO!H$15,ROW($T60)-ROW(T$15),0)</f>
        <v>6</v>
      </c>
      <c r="U60" s="153">
        <v>15.33</v>
      </c>
      <c r="V60" s="154" t="s">
        <v>155</v>
      </c>
      <c r="W60" s="152">
        <f t="shared" ca="1" si="14"/>
        <v>19.52</v>
      </c>
      <c r="X60" s="155">
        <f t="shared" ca="1" si="15"/>
        <v>117.12</v>
      </c>
      <c r="Y60" s="156" t="s">
        <v>244</v>
      </c>
      <c r="Z60" t="str">
        <f t="shared" ca="1" si="16"/>
        <v>RA</v>
      </c>
      <c r="AA60" s="157">
        <f ca="1">IF($C60="S",IF($Z60="CP",$X60,IF($Z60="RA",(($X60)*QCI!$AA$3),0)),SomaAgrup)</f>
        <v>117.12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str">
        <f t="shared" ca="1" si="19"/>
        <v>SINAPI-I 38069</v>
      </c>
      <c r="AF60" s="160">
        <f t="shared" ca="1" si="20"/>
        <v>8835</v>
      </c>
      <c r="AG60" s="550">
        <f t="shared" ca="1" si="21"/>
        <v>15.33</v>
      </c>
      <c r="AH60" s="551">
        <f t="shared" ca="1" si="22"/>
        <v>0.27350000000000002</v>
      </c>
      <c r="AJ60" s="553">
        <v>6</v>
      </c>
      <c r="AL60" s="574"/>
      <c r="AM60" s="431">
        <f t="shared" ca="1" si="0"/>
        <v>117.12</v>
      </c>
      <c r="AN60" s="617">
        <f t="shared" ca="1" si="23"/>
        <v>19.52</v>
      </c>
    </row>
    <row r="61" spans="1:40" ht="25.5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5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>F</v>
      </c>
      <c r="M61" s="145" t="s">
        <v>198</v>
      </c>
      <c r="N61" s="146" t="str">
        <f t="shared" ca="1" si="11"/>
        <v>Serviço</v>
      </c>
      <c r="O61" s="147" t="str">
        <f t="shared" ca="1" si="12"/>
        <v>1.5.5.</v>
      </c>
      <c r="P61" s="148" t="s">
        <v>246</v>
      </c>
      <c r="Q61" s="149" t="s">
        <v>483</v>
      </c>
      <c r="R61" s="150" t="str">
        <f t="shared" ca="1" si="24"/>
        <v>TOMADA MÉDIA DE EMBUTIR (1 MÓDULO), 2P+T 20 A, INCLUINDO SUPORTE E PLACA - FORNECIMENTO E INSTALAÇÃO. AF_12/2015</v>
      </c>
      <c r="S61" s="151" t="str">
        <f t="shared" ca="1" si="13"/>
        <v>UN</v>
      </c>
      <c r="T61" s="152">
        <f ca="1">OFFSET(CÁLCULO!H$15,ROW($T61)-ROW(T$15),0)</f>
        <v>9</v>
      </c>
      <c r="U61" s="153">
        <v>29.2</v>
      </c>
      <c r="V61" s="154" t="s">
        <v>155</v>
      </c>
      <c r="W61" s="152">
        <f t="shared" ca="1" si="14"/>
        <v>37.19</v>
      </c>
      <c r="X61" s="155">
        <f t="shared" ca="1" si="15"/>
        <v>334.71</v>
      </c>
      <c r="Y61" s="156" t="s">
        <v>244</v>
      </c>
      <c r="Z61" t="str">
        <f t="shared" ca="1" si="16"/>
        <v>RA</v>
      </c>
      <c r="AA61" s="157">
        <f ca="1">IF($C61="S",IF($Z61="CP",$X61,IF($Z61="RA",(($X61)*QCI!$AA$3),0)),SomaAgrup)</f>
        <v>334.71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str">
        <f t="shared" ca="1" si="19"/>
        <v>SINAPI 91997</v>
      </c>
      <c r="AF61" s="160">
        <f t="shared" ca="1" si="20"/>
        <v>2760</v>
      </c>
      <c r="AG61" s="550">
        <f t="shared" ca="1" si="21"/>
        <v>29.2</v>
      </c>
      <c r="AH61" s="551">
        <f t="shared" ca="1" si="22"/>
        <v>0.27350000000000002</v>
      </c>
      <c r="AJ61" s="553">
        <v>9</v>
      </c>
      <c r="AL61" s="574"/>
      <c r="AM61" s="431">
        <f t="shared" ca="1" si="0"/>
        <v>334.71</v>
      </c>
      <c r="AN61" s="617">
        <f t="shared" ca="1" si="23"/>
        <v>37.19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6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>F</v>
      </c>
      <c r="M62" s="145" t="s">
        <v>198</v>
      </c>
      <c r="N62" s="146" t="str">
        <f t="shared" ca="1" si="11"/>
        <v>Serviço</v>
      </c>
      <c r="O62" s="147" t="str">
        <f t="shared" ca="1" si="12"/>
        <v>1.5.6.</v>
      </c>
      <c r="P62" s="148" t="s">
        <v>246</v>
      </c>
      <c r="Q62" s="149" t="s">
        <v>484</v>
      </c>
      <c r="R62" s="150" t="str">
        <f t="shared" ca="1" si="24"/>
        <v>TOMADA ALTA DE EMBUTIR (1 MÓDULO), 2P+T 10 A, SEM SUPORTE E SEM PLACA - FORNECIMENTO E INSTALAÇÃO. AF_12/2015</v>
      </c>
      <c r="S62" s="151" t="str">
        <f t="shared" ca="1" si="13"/>
        <v>UN</v>
      </c>
      <c r="T62" s="152">
        <f ca="1">OFFSET(CÁLCULO!H$15,ROW($T62)-ROW(T$15),0)</f>
        <v>1</v>
      </c>
      <c r="U62" s="153">
        <v>27.46</v>
      </c>
      <c r="V62" s="154" t="s">
        <v>155</v>
      </c>
      <c r="W62" s="152">
        <f t="shared" ca="1" si="14"/>
        <v>34.97</v>
      </c>
      <c r="X62" s="155">
        <f t="shared" ca="1" si="15"/>
        <v>34.97</v>
      </c>
      <c r="Y62" s="156" t="s">
        <v>244</v>
      </c>
      <c r="Z62" t="str">
        <f t="shared" ca="1" si="16"/>
        <v>RA</v>
      </c>
      <c r="AA62" s="157">
        <f ca="1">IF($C62="S",IF($Z62="CP",$X62,IF($Z62="RA",(($X62)*QCI!$AA$3),0)),SomaAgrup)</f>
        <v>34.97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str">
        <f t="shared" ca="1" si="19"/>
        <v>SINAPI 91990</v>
      </c>
      <c r="AF62" s="160">
        <f t="shared" ca="1" si="20"/>
        <v>2753</v>
      </c>
      <c r="AG62" s="550">
        <f t="shared" ca="1" si="21"/>
        <v>27.46</v>
      </c>
      <c r="AH62" s="551">
        <f t="shared" ca="1" si="22"/>
        <v>0.27350000000000002</v>
      </c>
      <c r="AJ62" s="553">
        <v>1</v>
      </c>
      <c r="AL62" s="574"/>
      <c r="AM62" s="431">
        <f t="shared" ca="1" si="0"/>
        <v>34.97</v>
      </c>
      <c r="AN62" s="617">
        <f t="shared" ca="1" si="23"/>
        <v>34.97</v>
      </c>
    </row>
    <row r="63" spans="1:40" ht="25.5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7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>F</v>
      </c>
      <c r="M63" s="145" t="s">
        <v>198</v>
      </c>
      <c r="N63" s="146" t="str">
        <f t="shared" ca="1" si="11"/>
        <v>Serviço</v>
      </c>
      <c r="O63" s="147" t="str">
        <f t="shared" ca="1" si="12"/>
        <v>1.5.7.</v>
      </c>
      <c r="P63" s="148" t="s">
        <v>452</v>
      </c>
      <c r="Q63" s="149" t="s">
        <v>485</v>
      </c>
      <c r="R63" s="150" t="str">
        <f t="shared" ca="1" si="24"/>
        <v>QUADRO DE DISTRIBUICAO, SEM BARRAMENTO, EM PVC, DE SOBREPOR, PARA 6 DISJUNTORES NEMA OU 8 DISJUNTORES DIN</v>
      </c>
      <c r="S63" s="151" t="str">
        <f t="shared" ca="1" si="13"/>
        <v xml:space="preserve">UN    </v>
      </c>
      <c r="T63" s="152">
        <f ca="1">OFFSET(CÁLCULO!H$15,ROW($T63)-ROW(T$15),0)</f>
        <v>1</v>
      </c>
      <c r="U63" s="153">
        <v>48.26</v>
      </c>
      <c r="V63" s="154" t="s">
        <v>155</v>
      </c>
      <c r="W63" s="152">
        <f t="shared" ca="1" si="14"/>
        <v>61.46</v>
      </c>
      <c r="X63" s="155">
        <f t="shared" ca="1" si="15"/>
        <v>61.46</v>
      </c>
      <c r="Y63" s="156" t="s">
        <v>244</v>
      </c>
      <c r="Z63" t="str">
        <f t="shared" ca="1" si="16"/>
        <v>RA</v>
      </c>
      <c r="AA63" s="157">
        <f ca="1">IF($C63="S",IF($Z63="CP",$X63,IF($Z63="RA",(($X63)*QCI!$AA$3),0)),SomaAgrup)</f>
        <v>61.46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str">
        <f t="shared" ca="1" si="19"/>
        <v>SINAPI-I 39800</v>
      </c>
      <c r="AF63" s="160">
        <f t="shared" ca="1" si="20"/>
        <v>10280</v>
      </c>
      <c r="AG63" s="550">
        <f t="shared" ca="1" si="21"/>
        <v>48.26</v>
      </c>
      <c r="AH63" s="551">
        <f t="shared" ca="1" si="22"/>
        <v>0.27350000000000002</v>
      </c>
      <c r="AJ63" s="553">
        <v>1</v>
      </c>
      <c r="AL63" s="574"/>
      <c r="AM63" s="431">
        <f t="shared" ca="1" si="0"/>
        <v>61.46</v>
      </c>
      <c r="AN63" s="617">
        <f t="shared" ca="1" si="23"/>
        <v>61.46</v>
      </c>
    </row>
    <row r="64" spans="1:40" ht="25.5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8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>F</v>
      </c>
      <c r="M64" s="145" t="s">
        <v>198</v>
      </c>
      <c r="N64" s="146" t="str">
        <f t="shared" ca="1" si="11"/>
        <v>Serviço</v>
      </c>
      <c r="O64" s="147" t="str">
        <f t="shared" ca="1" si="12"/>
        <v>1.5.8.</v>
      </c>
      <c r="P64" s="148" t="s">
        <v>452</v>
      </c>
      <c r="Q64" s="149" t="s">
        <v>486</v>
      </c>
      <c r="R64" s="150" t="str">
        <f t="shared" ca="1" si="24"/>
        <v>SOQUETE DE PORCELANA BASE E27, FIXO DE TETO, PARA LAMPADAS</v>
      </c>
      <c r="S64" s="151" t="str">
        <f t="shared" ca="1" si="13"/>
        <v xml:space="preserve">UN    </v>
      </c>
      <c r="T64" s="152">
        <f ca="1">OFFSET(CÁLCULO!H$15,ROW($T64)-ROW(T$15),0)</f>
        <v>8</v>
      </c>
      <c r="U64" s="153">
        <v>3.17</v>
      </c>
      <c r="V64" s="154" t="s">
        <v>155</v>
      </c>
      <c r="W64" s="152">
        <f t="shared" ca="1" si="14"/>
        <v>4.04</v>
      </c>
      <c r="X64" s="155">
        <f t="shared" ca="1" si="15"/>
        <v>32.32</v>
      </c>
      <c r="Y64" s="156" t="s">
        <v>244</v>
      </c>
      <c r="Z64" t="str">
        <f t="shared" ca="1" si="16"/>
        <v>RA</v>
      </c>
      <c r="AA64" s="157">
        <f ca="1">IF($C64="S",IF($Z64="CP",$X64,IF($Z64="RA",(($X64)*QCI!$AA$3),0)),SomaAgrup)</f>
        <v>32.32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str">
        <f t="shared" ca="1" si="19"/>
        <v>SINAPI-I 12296</v>
      </c>
      <c r="AF64" s="160">
        <f t="shared" ca="1" si="20"/>
        <v>10522</v>
      </c>
      <c r="AG64" s="550">
        <f t="shared" ca="1" si="21"/>
        <v>3.17</v>
      </c>
      <c r="AH64" s="551">
        <f t="shared" ca="1" si="22"/>
        <v>0.27350000000000002</v>
      </c>
      <c r="AJ64" s="553">
        <v>8</v>
      </c>
      <c r="AL64" s="574"/>
      <c r="AM64" s="431">
        <f t="shared" ca="1" si="0"/>
        <v>32.32</v>
      </c>
      <c r="AN64" s="617">
        <f t="shared" ca="1" si="23"/>
        <v>4.04</v>
      </c>
    </row>
    <row r="65" spans="1:40" ht="25.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9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>F</v>
      </c>
      <c r="M65" s="145" t="s">
        <v>198</v>
      </c>
      <c r="N65" s="146" t="str">
        <f t="shared" ca="1" si="11"/>
        <v>Serviço</v>
      </c>
      <c r="O65" s="147" t="str">
        <f t="shared" ca="1" si="12"/>
        <v>1.5.9.</v>
      </c>
      <c r="P65" s="148" t="s">
        <v>452</v>
      </c>
      <c r="Q65" s="149" t="s">
        <v>487</v>
      </c>
      <c r="R65" s="150" t="str">
        <f t="shared" ca="1" si="24"/>
        <v>LAMPADA FLUORESCENTE ESPIRAL BRANCA 45 W, BASE E27 (127/220 V)</v>
      </c>
      <c r="S65" s="151" t="str">
        <f t="shared" ca="1" si="13"/>
        <v xml:space="preserve">UN    </v>
      </c>
      <c r="T65" s="152">
        <f ca="1">OFFSET(CÁLCULO!H$15,ROW($T65)-ROW(T$15),0)</f>
        <v>8</v>
      </c>
      <c r="U65" s="153">
        <v>49.06</v>
      </c>
      <c r="V65" s="154" t="s">
        <v>155</v>
      </c>
      <c r="W65" s="152">
        <f t="shared" ca="1" si="14"/>
        <v>62.48</v>
      </c>
      <c r="X65" s="155">
        <f t="shared" ca="1" si="15"/>
        <v>499.84</v>
      </c>
      <c r="Y65" s="156" t="s">
        <v>244</v>
      </c>
      <c r="Z65" t="str">
        <f t="shared" ca="1" si="16"/>
        <v>RA</v>
      </c>
      <c r="AA65" s="157">
        <f ca="1">IF($C65="S",IF($Z65="CP",$X65,IF($Z65="RA",(($X65)*QCI!$AA$3),0)),SomaAgrup)</f>
        <v>499.84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str">
        <f t="shared" ca="1" si="19"/>
        <v>SINAPI-I 38781</v>
      </c>
      <c r="AF65" s="160">
        <f t="shared" ca="1" si="20"/>
        <v>9144</v>
      </c>
      <c r="AG65" s="550">
        <f t="shared" ca="1" si="21"/>
        <v>49.06</v>
      </c>
      <c r="AH65" s="551">
        <f t="shared" ca="1" si="22"/>
        <v>0.27350000000000002</v>
      </c>
      <c r="AJ65" s="553">
        <v>8</v>
      </c>
      <c r="AL65" s="574"/>
      <c r="AM65" s="431">
        <f t="shared" ca="1" si="0"/>
        <v>499.84</v>
      </c>
      <c r="AN65" s="617">
        <f t="shared" ca="1" si="23"/>
        <v>62.48</v>
      </c>
    </row>
    <row r="66" spans="1:40" ht="38.25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10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>F</v>
      </c>
      <c r="M66" s="145" t="s">
        <v>198</v>
      </c>
      <c r="N66" s="146" t="str">
        <f t="shared" ca="1" si="11"/>
        <v>Serviço</v>
      </c>
      <c r="O66" s="147" t="str">
        <f t="shared" ca="1" si="12"/>
        <v>1.5.10.</v>
      </c>
      <c r="P66" s="148" t="s">
        <v>246</v>
      </c>
      <c r="Q66" s="149" t="s">
        <v>488</v>
      </c>
      <c r="R66" s="150" t="str">
        <f ca="1">IF($C66="S",REFERENCIA.Descricao,"(digite a descrição aqui)")</f>
        <v>ELETRODUTO RÍGIDO ROSCÁVEL, PVC, DN 25 MM (3/4"), PARA CIRCUITOS TERMINAIS, INSTALADO EM FORRO - FORNECIMENTO E INSTALAÇÃO. AF_12/2015</v>
      </c>
      <c r="S66" s="151" t="str">
        <f t="shared" ca="1" si="13"/>
        <v>M</v>
      </c>
      <c r="T66" s="152">
        <f ca="1">OFFSET(CÁLCULO!H$15,ROW($T66)-ROW(T$15),0)</f>
        <v>20</v>
      </c>
      <c r="U66" s="153">
        <v>8.58</v>
      </c>
      <c r="V66" s="154" t="s">
        <v>155</v>
      </c>
      <c r="W66" s="152">
        <f t="shared" ca="1" si="14"/>
        <v>10.93</v>
      </c>
      <c r="X66" s="155">
        <f t="shared" ca="1" si="15"/>
        <v>218.6</v>
      </c>
      <c r="Y66" s="156" t="s">
        <v>244</v>
      </c>
      <c r="Z66" t="str">
        <f t="shared" ca="1" si="16"/>
        <v>RA</v>
      </c>
      <c r="AA66" s="157">
        <f ca="1">IF($C66="S",IF($Z66="CP",$X66,IF($Z66="RA",(($X66)*QCI!$AA$3),0)),SomaAgrup)</f>
        <v>218.6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str">
        <f t="shared" ca="1" si="19"/>
        <v>SINAPI 91863</v>
      </c>
      <c r="AF66" s="160">
        <f t="shared" ca="1" si="20"/>
        <v>2471</v>
      </c>
      <c r="AG66" s="550">
        <f t="shared" ca="1" si="21"/>
        <v>8.58</v>
      </c>
      <c r="AH66" s="551">
        <f t="shared" ca="1" si="22"/>
        <v>0.27350000000000002</v>
      </c>
      <c r="AJ66" s="553">
        <v>20</v>
      </c>
      <c r="AL66" s="574"/>
      <c r="AM66" s="431">
        <f t="shared" ca="1" si="0"/>
        <v>218.6</v>
      </c>
      <c r="AN66" s="617">
        <f t="shared" ca="1" si="23"/>
        <v>10.93</v>
      </c>
    </row>
    <row r="67" spans="1:40" ht="25.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11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>F</v>
      </c>
      <c r="M67" s="145" t="s">
        <v>198</v>
      </c>
      <c r="N67" s="146" t="str">
        <f t="shared" ca="1" si="11"/>
        <v>Serviço</v>
      </c>
      <c r="O67" s="147" t="str">
        <f t="shared" ca="1" si="12"/>
        <v>1.5.11.</v>
      </c>
      <c r="P67" s="148" t="s">
        <v>246</v>
      </c>
      <c r="Q67" s="149" t="s">
        <v>489</v>
      </c>
      <c r="R67" s="150" t="str">
        <f t="shared" ca="1" si="24"/>
        <v>RASGO EM ALVENARIA PARA ELETRODUTOS COM DIAMETROS MENORES OU IGUAIS A 40 MM. AF_05/2015</v>
      </c>
      <c r="S67" s="151" t="str">
        <f t="shared" ca="1" si="13"/>
        <v>M</v>
      </c>
      <c r="T67" s="152">
        <f ca="1">OFFSET(CÁLCULO!H$15,ROW($T67)-ROW(T$15),0)</f>
        <v>20</v>
      </c>
      <c r="U67" s="153">
        <v>5.44</v>
      </c>
      <c r="V67" s="154" t="s">
        <v>155</v>
      </c>
      <c r="W67" s="152">
        <f t="shared" ca="1" si="14"/>
        <v>6.93</v>
      </c>
      <c r="X67" s="155">
        <f t="shared" ca="1" si="15"/>
        <v>138.6</v>
      </c>
      <c r="Y67" s="156" t="s">
        <v>244</v>
      </c>
      <c r="Z67" t="str">
        <f t="shared" ca="1" si="16"/>
        <v>RA</v>
      </c>
      <c r="AA67" s="157">
        <f ca="1">IF($C67="S",IF($Z67="CP",$X67,IF($Z67="RA",(($X67)*QCI!$AA$3),0)),SomaAgrup)</f>
        <v>138.6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str">
        <f t="shared" ca="1" si="19"/>
        <v>SINAPI 90447</v>
      </c>
      <c r="AF67" s="160">
        <f t="shared" ca="1" si="20"/>
        <v>4637</v>
      </c>
      <c r="AG67" s="550">
        <f t="shared" ca="1" si="21"/>
        <v>5.44</v>
      </c>
      <c r="AH67" s="551">
        <f t="shared" ca="1" si="22"/>
        <v>0.27350000000000002</v>
      </c>
      <c r="AJ67" s="553">
        <v>20</v>
      </c>
      <c r="AL67" s="574"/>
      <c r="AM67" s="431">
        <f t="shared" ca="1" si="0"/>
        <v>138.6</v>
      </c>
      <c r="AN67" s="617">
        <f t="shared" ca="1" si="23"/>
        <v>6.93</v>
      </c>
    </row>
    <row r="68" spans="1:40" ht="25.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12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>F</v>
      </c>
      <c r="M68" s="145" t="s">
        <v>198</v>
      </c>
      <c r="N68" s="146" t="str">
        <f t="shared" ca="1" si="11"/>
        <v>Serviço</v>
      </c>
      <c r="O68" s="147" t="str">
        <f t="shared" ca="1" si="12"/>
        <v>1.5.12.</v>
      </c>
      <c r="P68" s="148" t="s">
        <v>452</v>
      </c>
      <c r="Q68" s="149" t="s">
        <v>490</v>
      </c>
      <c r="R68" s="150" t="str">
        <f t="shared" ca="1" si="24"/>
        <v>ELETRODUTO PVC FLEXIVEL CORRUGADO, COR AMARELA, DE 20 MM</v>
      </c>
      <c r="S68" s="151" t="str">
        <f t="shared" ca="1" si="13"/>
        <v xml:space="preserve">M     </v>
      </c>
      <c r="T68" s="152">
        <f ca="1">OFFSET(CÁLCULO!H$15,ROW($T68)-ROW(T$15),0)</f>
        <v>30</v>
      </c>
      <c r="U68" s="153">
        <v>1.45</v>
      </c>
      <c r="V68" s="154" t="s">
        <v>155</v>
      </c>
      <c r="W68" s="152">
        <f t="shared" ca="1" si="14"/>
        <v>1.85</v>
      </c>
      <c r="X68" s="155">
        <f t="shared" ca="1" si="15"/>
        <v>55.5</v>
      </c>
      <c r="Y68" s="156" t="s">
        <v>244</v>
      </c>
      <c r="Z68" t="str">
        <f t="shared" ca="1" si="16"/>
        <v>RA</v>
      </c>
      <c r="AA68" s="157">
        <f ca="1">IF($C68="S",IF($Z68="CP",$X68,IF($Z68="RA",(($X68)*QCI!$AA$3),0)),SomaAgrup)</f>
        <v>55.5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str">
        <f t="shared" ca="1" si="19"/>
        <v>SINAPI-I 2689</v>
      </c>
      <c r="AF68" s="160">
        <f t="shared" ca="1" si="20"/>
        <v>8346</v>
      </c>
      <c r="AG68" s="550">
        <f t="shared" ca="1" si="21"/>
        <v>1.45</v>
      </c>
      <c r="AH68" s="551">
        <f t="shared" ca="1" si="22"/>
        <v>0.27350000000000002</v>
      </c>
      <c r="AJ68" s="553">
        <v>30</v>
      </c>
      <c r="AL68" s="574"/>
      <c r="AM68" s="431">
        <f t="shared" ca="1" si="0"/>
        <v>55.5</v>
      </c>
      <c r="AN68" s="617">
        <f t="shared" ca="1" si="23"/>
        <v>1.85</v>
      </c>
    </row>
    <row r="69" spans="1:40" ht="25.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13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>F</v>
      </c>
      <c r="M69" s="145" t="s">
        <v>198</v>
      </c>
      <c r="N69" s="146" t="str">
        <f t="shared" ca="1" si="11"/>
        <v>Serviço</v>
      </c>
      <c r="O69" s="147" t="str">
        <f t="shared" ca="1" si="12"/>
        <v>1.5.13.</v>
      </c>
      <c r="P69" s="148" t="s">
        <v>246</v>
      </c>
      <c r="Q69" s="149" t="s">
        <v>491</v>
      </c>
      <c r="R69" s="150" t="str">
        <f t="shared" ca="1" si="24"/>
        <v>DISJUNTOR MONOPOLAR TIPO DIN, CORRENTE NOMINAL DE 25A - FORNECIMENTO E INSTALAÇÃO. AF_04/2016</v>
      </c>
      <c r="S69" s="151" t="str">
        <f t="shared" ca="1" si="13"/>
        <v>UN</v>
      </c>
      <c r="T69" s="152">
        <f ca="1">OFFSET(CÁLCULO!H$15,ROW($T69)-ROW(T$15),0)</f>
        <v>6</v>
      </c>
      <c r="U69" s="153">
        <v>12.6</v>
      </c>
      <c r="V69" s="154" t="s">
        <v>155</v>
      </c>
      <c r="W69" s="152">
        <f t="shared" ca="1" si="14"/>
        <v>16.05</v>
      </c>
      <c r="X69" s="155">
        <f t="shared" ca="1" si="15"/>
        <v>96.3</v>
      </c>
      <c r="Y69" s="156" t="s">
        <v>244</v>
      </c>
      <c r="Z69" t="str">
        <f t="shared" ca="1" si="16"/>
        <v>RA</v>
      </c>
      <c r="AA69" s="157">
        <f ca="1">IF($C69="S",IF($Z69="CP",$X69,IF($Z69="RA",(($X69)*QCI!$AA$3),0)),SomaAgrup)</f>
        <v>96.3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str">
        <f t="shared" ca="1" si="19"/>
        <v>SINAPI 93656</v>
      </c>
      <c r="AF69" s="160">
        <f t="shared" ca="1" si="20"/>
        <v>2688</v>
      </c>
      <c r="AG69" s="550">
        <f t="shared" ca="1" si="21"/>
        <v>12.6</v>
      </c>
      <c r="AH69" s="551">
        <f t="shared" ca="1" si="22"/>
        <v>0.27350000000000002</v>
      </c>
      <c r="AJ69" s="553">
        <v>6</v>
      </c>
      <c r="AL69" s="574"/>
      <c r="AM69" s="431">
        <f t="shared" ca="1" si="0"/>
        <v>96.3</v>
      </c>
      <c r="AN69" s="617">
        <f t="shared" ca="1" si="23"/>
        <v>16.05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13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0.27350000000000002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x14ac:dyDescent="0.2">
      <c r="A71">
        <f t="shared" si="1"/>
        <v>2</v>
      </c>
      <c r="B71">
        <f t="shared" ca="1" si="2"/>
        <v>2</v>
      </c>
      <c r="C71">
        <f t="shared" ca="1" si="3"/>
        <v>2</v>
      </c>
      <c r="D71">
        <f t="shared" ca="1" si="4"/>
        <v>20</v>
      </c>
      <c r="E71">
        <f ca="1">IF($C71=1,OFFSET(E71,-1,0)+MAX(1,COUNTIF(QCI!$A$13:$A$24,OFFSET(ORÇAMENTO!E71,-1,0))),OFFSET(E71,-1,0))</f>
        <v>1</v>
      </c>
      <c r="F71">
        <f t="shared" ca="1" si="5"/>
        <v>6</v>
      </c>
      <c r="G71">
        <f t="shared" ca="1" si="6"/>
        <v>0</v>
      </c>
      <c r="H71">
        <f t="shared" ca="1" si="7"/>
        <v>0</v>
      </c>
      <c r="I71">
        <f t="shared" ca="1" si="8"/>
        <v>0</v>
      </c>
      <c r="J71">
        <f t="shared" ca="1" si="9"/>
        <v>20</v>
      </c>
      <c r="K71">
        <f ca="1">IF(OR($C71="S",$C71=0),0,MATCH(OFFSET($D71,0,$C71)+IF($C71&lt;&gt;1,1,COUNTIF(QCI!$A$13:$A$24,ORÇAMENTO!E71)),OFFSET($D71,1,$C71,ROW($C$266)-ROW($C71)),0))</f>
        <v>141</v>
      </c>
      <c r="L71" s="144" t="str">
        <f t="shared" ca="1" si="10"/>
        <v>F</v>
      </c>
      <c r="M71" s="145" t="s">
        <v>195</v>
      </c>
      <c r="N71" s="146" t="str">
        <f t="shared" ca="1" si="11"/>
        <v>Nível 2</v>
      </c>
      <c r="O71" s="147" t="str">
        <f t="shared" ca="1" si="12"/>
        <v>1.6.</v>
      </c>
      <c r="P71" s="148" t="s">
        <v>246</v>
      </c>
      <c r="Q71" s="149"/>
      <c r="R71" s="150" t="str">
        <f ca="1">IF($C71="S",REFERENCIA.Descricao,"(INSTALAÇÕES HIDRAULICAS)")</f>
        <v>(INSTALAÇÕES HIDRAULICAS)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6033.12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6033.1200000000008</v>
      </c>
      <c r="AB71" s="158">
        <f t="shared" ca="1" si="17"/>
        <v>0</v>
      </c>
      <c r="AC71" s="159" t="str">
        <f t="shared" ca="1" si="18"/>
        <v/>
      </c>
      <c r="AD71" s="105">
        <f ca="1">IF(C71&lt;=CRONO.NivelExibicao,MAX($AD$15:OFFSET(AD71,-1,0))+IF($C71&lt;&gt;1,1,MAX(1,COUNTIF(QCI!$A$13:$A$24,OFFSET($E71,-1,0)))),"")</f>
        <v>7</v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0.27350000000000002</v>
      </c>
      <c r="AJ71" s="553"/>
      <c r="AL71" s="574"/>
      <c r="AM71" s="431">
        <f t="shared" ca="1" si="0"/>
        <v>6033.12</v>
      </c>
      <c r="AN71" s="617">
        <f t="shared" ca="1" si="23"/>
        <v>0</v>
      </c>
    </row>
    <row r="72" spans="1:40" ht="38.25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6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>F</v>
      </c>
      <c r="M72" s="145" t="s">
        <v>198</v>
      </c>
      <c r="N72" s="146" t="str">
        <f t="shared" ca="1" si="11"/>
        <v>Serviço</v>
      </c>
      <c r="O72" s="147" t="str">
        <f t="shared" ca="1" si="12"/>
        <v>1.6.1.</v>
      </c>
      <c r="P72" s="148" t="s">
        <v>246</v>
      </c>
      <c r="Q72" s="149" t="s">
        <v>492</v>
      </c>
      <c r="R72" s="150" t="str">
        <f t="shared" ca="1" si="24"/>
        <v>TUBO PVC, SERIE NORMAL, ESGOTO PREDIAL, DN 100 MM, FORNECIDO E INSTALADO EM RAMAL DE DESCARGA OU RAMAL DE ESGOTO SANITÁRIO. AF_12/2014</v>
      </c>
      <c r="S72" s="151" t="str">
        <f t="shared" ca="1" si="13"/>
        <v>M</v>
      </c>
      <c r="T72" s="152">
        <f ca="1">OFFSET(CÁLCULO!H$15,ROW($T72)-ROW(T$15),0)</f>
        <v>32</v>
      </c>
      <c r="U72" s="153">
        <v>44.13</v>
      </c>
      <c r="V72" s="154" t="s">
        <v>155</v>
      </c>
      <c r="W72" s="152">
        <f t="shared" ca="1" si="14"/>
        <v>56.2</v>
      </c>
      <c r="X72" s="155">
        <f t="shared" ca="1" si="15"/>
        <v>1798.4</v>
      </c>
      <c r="Y72" s="156" t="s">
        <v>244</v>
      </c>
      <c r="Z72" t="str">
        <f t="shared" ca="1" si="16"/>
        <v>RA</v>
      </c>
      <c r="AA72" s="157">
        <f ca="1">IF($C72="S",IF($Z72="CP",$X72,IF($Z72="RA",(($X72)*QCI!$AA$3),0)),SomaAgrup)</f>
        <v>1798.4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str">
        <f t="shared" ca="1" si="19"/>
        <v>SINAPI 89714</v>
      </c>
      <c r="AF72" s="160">
        <f t="shared" ca="1" si="20"/>
        <v>3068</v>
      </c>
      <c r="AG72" s="550">
        <f t="shared" ca="1" si="21"/>
        <v>44.13</v>
      </c>
      <c r="AH72" s="551">
        <f t="shared" ca="1" si="22"/>
        <v>0.27350000000000002</v>
      </c>
      <c r="AJ72" s="553">
        <v>32</v>
      </c>
      <c r="AL72" s="574"/>
      <c r="AM72" s="431">
        <f t="shared" ca="1" si="0"/>
        <v>1798.4</v>
      </c>
      <c r="AN72" s="617">
        <f t="shared" ca="1" si="23"/>
        <v>56.2</v>
      </c>
    </row>
    <row r="73" spans="1:40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6</v>
      </c>
      <c r="G73">
        <f t="shared" ca="1" si="6"/>
        <v>0</v>
      </c>
      <c r="H73">
        <f t="shared" ca="1" si="7"/>
        <v>0</v>
      </c>
      <c r="I73">
        <f t="shared" ca="1" si="8"/>
        <v>2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>F</v>
      </c>
      <c r="M73" s="145" t="s">
        <v>198</v>
      </c>
      <c r="N73" s="146" t="str">
        <f t="shared" ca="1" si="11"/>
        <v>Serviço</v>
      </c>
      <c r="O73" s="147" t="str">
        <f t="shared" ca="1" si="12"/>
        <v>1.6.2.</v>
      </c>
      <c r="P73" s="148" t="s">
        <v>452</v>
      </c>
      <c r="Q73" s="149" t="s">
        <v>493</v>
      </c>
      <c r="R73" s="150" t="str">
        <f t="shared" ca="1" si="24"/>
        <v>TUBO PVC, SOLDAVEL, DN 25 MM, AGUA FRIA (NBR-5648)</v>
      </c>
      <c r="S73" s="151" t="str">
        <f t="shared" ca="1" si="13"/>
        <v xml:space="preserve">M     </v>
      </c>
      <c r="T73" s="152">
        <f ca="1">OFFSET(CÁLCULO!H$15,ROW($T73)-ROW(T$15),0)</f>
        <v>30</v>
      </c>
      <c r="U73" s="153">
        <v>2.5</v>
      </c>
      <c r="V73" s="154" t="s">
        <v>155</v>
      </c>
      <c r="W73" s="152">
        <f t="shared" ca="1" si="14"/>
        <v>3.18</v>
      </c>
      <c r="X73" s="155">
        <f t="shared" ca="1" si="15"/>
        <v>95.4</v>
      </c>
      <c r="Y73" s="156" t="s">
        <v>244</v>
      </c>
      <c r="Z73" t="str">
        <f t="shared" ca="1" si="16"/>
        <v>RA</v>
      </c>
      <c r="AA73" s="157">
        <f ca="1">IF($C73="S",IF($Z73="CP",$X73,IF($Z73="RA",(($X73)*QCI!$AA$3),0)),SomaAgrup)</f>
        <v>95.4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str">
        <f t="shared" ca="1" si="19"/>
        <v>SINAPI-I 9868</v>
      </c>
      <c r="AF73" s="160">
        <f t="shared" ca="1" si="20"/>
        <v>11395</v>
      </c>
      <c r="AG73" s="550">
        <f t="shared" ca="1" si="21"/>
        <v>2.5</v>
      </c>
      <c r="AH73" s="551">
        <f t="shared" ca="1" si="22"/>
        <v>0.27350000000000002</v>
      </c>
      <c r="AJ73" s="553">
        <v>30</v>
      </c>
      <c r="AL73" s="574"/>
      <c r="AM73" s="431">
        <f t="shared" ca="1" si="0"/>
        <v>95.4</v>
      </c>
      <c r="AN73" s="617">
        <f t="shared" ca="1" si="23"/>
        <v>3.18</v>
      </c>
    </row>
    <row r="74" spans="1:40" ht="38.25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6</v>
      </c>
      <c r="G74">
        <f t="shared" ca="1" si="6"/>
        <v>0</v>
      </c>
      <c r="H74">
        <f t="shared" ca="1" si="7"/>
        <v>0</v>
      </c>
      <c r="I74">
        <f t="shared" ca="1" si="8"/>
        <v>3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>F</v>
      </c>
      <c r="M74" s="145" t="s">
        <v>198</v>
      </c>
      <c r="N74" s="146" t="str">
        <f t="shared" ca="1" si="11"/>
        <v>Serviço</v>
      </c>
      <c r="O74" s="147" t="str">
        <f t="shared" ca="1" si="12"/>
        <v>1.6.3.</v>
      </c>
      <c r="P74" s="148" t="s">
        <v>246</v>
      </c>
      <c r="Q74" s="149" t="s">
        <v>494</v>
      </c>
      <c r="R74" s="150" t="str">
        <f ca="1">IF($C74="S",REFERENCIA.Descricao,"(digite a descrição aqui)")</f>
        <v>TUBO PVC, SERIE NORMAL, ESGOTO PREDIAL, DN 50 MM, FORNECIDO E INSTALADO EM RAMAL DE DESCARGA OU RAMAL DE ESGOTO SANITÁRIO. AF_12/2014</v>
      </c>
      <c r="S74" s="151" t="str">
        <f t="shared" ca="1" si="13"/>
        <v>M</v>
      </c>
      <c r="T74" s="152">
        <f ca="1">OFFSET(CÁLCULO!H$15,ROW($T74)-ROW(T$15),0)</f>
        <v>6</v>
      </c>
      <c r="U74" s="153">
        <v>22.45</v>
      </c>
      <c r="V74" s="154" t="s">
        <v>155</v>
      </c>
      <c r="W74" s="152">
        <f t="shared" ca="1" si="14"/>
        <v>28.59</v>
      </c>
      <c r="X74" s="155">
        <f t="shared" ca="1" si="15"/>
        <v>171.54</v>
      </c>
      <c r="Y74" s="156" t="s">
        <v>244</v>
      </c>
      <c r="Z74" t="str">
        <f t="shared" ca="1" si="16"/>
        <v>RA</v>
      </c>
      <c r="AA74" s="157">
        <f ca="1">IF($C74="S",IF($Z74="CP",$X74,IF($Z74="RA",(($X74)*QCI!$AA$3),0)),SomaAgrup)</f>
        <v>171.54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str">
        <f t="shared" ca="1" si="19"/>
        <v>SINAPI 89712</v>
      </c>
      <c r="AF74" s="160">
        <f t="shared" ca="1" si="20"/>
        <v>3066</v>
      </c>
      <c r="AG74" s="550">
        <f t="shared" ca="1" si="21"/>
        <v>22.45</v>
      </c>
      <c r="AH74" s="551">
        <f t="shared" ca="1" si="22"/>
        <v>0.27350000000000002</v>
      </c>
      <c r="AJ74" s="553">
        <v>6</v>
      </c>
      <c r="AL74" s="574"/>
      <c r="AM74" s="431">
        <f t="shared" ca="1" si="0"/>
        <v>171.54</v>
      </c>
      <c r="AN74" s="617">
        <f t="shared" ca="1" si="23"/>
        <v>28.59</v>
      </c>
    </row>
    <row r="75" spans="1:40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6</v>
      </c>
      <c r="G75">
        <f t="shared" ca="1" si="6"/>
        <v>0</v>
      </c>
      <c r="H75">
        <f t="shared" ca="1" si="7"/>
        <v>0</v>
      </c>
      <c r="I75">
        <f t="shared" ca="1" si="8"/>
        <v>4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>F</v>
      </c>
      <c r="M75" s="145" t="s">
        <v>198</v>
      </c>
      <c r="N75" s="146" t="str">
        <f t="shared" ca="1" si="11"/>
        <v>Serviço</v>
      </c>
      <c r="O75" s="147" t="str">
        <f t="shared" ca="1" si="12"/>
        <v>1.6.4.</v>
      </c>
      <c r="P75" s="148" t="s">
        <v>246</v>
      </c>
      <c r="Q75" s="149" t="s">
        <v>495</v>
      </c>
      <c r="R75" s="150" t="str">
        <f t="shared" ca="1" si="24"/>
        <v>CAIXA DE PASSAGEM 30X30X40 COM TAMPA E DRENO BRITA</v>
      </c>
      <c r="S75" s="151" t="str">
        <f t="shared" ca="1" si="13"/>
        <v>UN</v>
      </c>
      <c r="T75" s="152">
        <f ca="1">OFFSET(CÁLCULO!H$15,ROW($T75)-ROW(T$15),0)</f>
        <v>7</v>
      </c>
      <c r="U75" s="153">
        <v>157.83000000000001</v>
      </c>
      <c r="V75" s="154" t="s">
        <v>155</v>
      </c>
      <c r="W75" s="152">
        <f t="shared" ca="1" si="14"/>
        <v>201</v>
      </c>
      <c r="X75" s="155">
        <f t="shared" ca="1" si="15"/>
        <v>1407</v>
      </c>
      <c r="Y75" s="156" t="s">
        <v>244</v>
      </c>
      <c r="Z75" t="str">
        <f t="shared" ca="1" si="16"/>
        <v>RA</v>
      </c>
      <c r="AA75" s="157">
        <f ca="1">IF($C75="S",IF($Z75="CP",$X75,IF($Z75="RA",(($X75)*QCI!$AA$3),0)),SomaAgrup)</f>
        <v>1407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str">
        <f t="shared" ca="1" si="19"/>
        <v>SINAPI 83446</v>
      </c>
      <c r="AF75" s="160">
        <f t="shared" ca="1" si="20"/>
        <v>2604</v>
      </c>
      <c r="AG75" s="550">
        <f t="shared" ca="1" si="21"/>
        <v>157.83000000000001</v>
      </c>
      <c r="AH75" s="551">
        <f t="shared" ca="1" si="22"/>
        <v>0.27350000000000002</v>
      </c>
      <c r="AJ75" s="553">
        <v>7</v>
      </c>
      <c r="AL75" s="574"/>
      <c r="AM75" s="431">
        <f t="shared" ca="1" si="0"/>
        <v>1407</v>
      </c>
      <c r="AN75" s="617">
        <f t="shared" ca="1" si="23"/>
        <v>201</v>
      </c>
    </row>
    <row r="76" spans="1:40" ht="25.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6</v>
      </c>
      <c r="G76">
        <f t="shared" ca="1" si="6"/>
        <v>0</v>
      </c>
      <c r="H76">
        <f t="shared" ca="1" si="7"/>
        <v>0</v>
      </c>
      <c r="I76">
        <f t="shared" ca="1" si="8"/>
        <v>5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>F</v>
      </c>
      <c r="M76" s="145" t="s">
        <v>198</v>
      </c>
      <c r="N76" s="146" t="str">
        <f t="shared" ca="1" si="11"/>
        <v>Serviço</v>
      </c>
      <c r="O76" s="147" t="str">
        <f t="shared" ca="1" si="12"/>
        <v>1.6.5.</v>
      </c>
      <c r="P76" s="148" t="s">
        <v>452</v>
      </c>
      <c r="Q76" s="149" t="s">
        <v>496</v>
      </c>
      <c r="R76" s="150" t="str">
        <f t="shared" ca="1" si="24"/>
        <v>BACIA SANITARIA (VASO) COM CAIXA ACOPLADA, DE LOUCA BRANCA</v>
      </c>
      <c r="S76" s="151" t="str">
        <f t="shared" ca="1" si="13"/>
        <v xml:space="preserve">UN    </v>
      </c>
      <c r="T76" s="152">
        <f ca="1">OFFSET(CÁLCULO!H$15,ROW($T76)-ROW(T$15),0)</f>
        <v>1</v>
      </c>
      <c r="U76" s="153">
        <v>351.95</v>
      </c>
      <c r="V76" s="154" t="s">
        <v>155</v>
      </c>
      <c r="W76" s="152">
        <f t="shared" ca="1" si="14"/>
        <v>448.21</v>
      </c>
      <c r="X76" s="155">
        <f t="shared" ca="1" si="15"/>
        <v>448.21</v>
      </c>
      <c r="Y76" s="156" t="s">
        <v>244</v>
      </c>
      <c r="Z76" t="str">
        <f t="shared" ca="1" si="16"/>
        <v>RA</v>
      </c>
      <c r="AA76" s="157">
        <f ca="1">IF($C76="S",IF($Z76="CP",$X76,IF($Z76="RA",(($X76)*QCI!$AA$3),0)),SomaAgrup)</f>
        <v>448.21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str">
        <f t="shared" ca="1" si="19"/>
        <v>SINAPI-I 10422</v>
      </c>
      <c r="AF76" s="160">
        <f t="shared" ca="1" si="20"/>
        <v>6787</v>
      </c>
      <c r="AG76" s="550">
        <f t="shared" ca="1" si="21"/>
        <v>351.95</v>
      </c>
      <c r="AH76" s="551">
        <f t="shared" ca="1" si="22"/>
        <v>0.27350000000000002</v>
      </c>
      <c r="AJ76" s="553">
        <v>1</v>
      </c>
      <c r="AL76" s="574"/>
      <c r="AM76" s="431">
        <f t="shared" ca="1" si="0"/>
        <v>448.21</v>
      </c>
      <c r="AN76" s="617">
        <f t="shared" ca="1" si="23"/>
        <v>448.21</v>
      </c>
    </row>
    <row r="77" spans="1:40" ht="38.2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6</v>
      </c>
      <c r="G77">
        <f t="shared" ca="1" si="6"/>
        <v>0</v>
      </c>
      <c r="H77">
        <f t="shared" ca="1" si="7"/>
        <v>0</v>
      </c>
      <c r="I77">
        <f t="shared" ca="1" si="8"/>
        <v>6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>F</v>
      </c>
      <c r="M77" s="145" t="s">
        <v>198</v>
      </c>
      <c r="N77" s="146" t="str">
        <f t="shared" ca="1" si="11"/>
        <v>Serviço</v>
      </c>
      <c r="O77" s="147" t="str">
        <f t="shared" ca="1" si="12"/>
        <v>1.6.6.</v>
      </c>
      <c r="P77" s="148" t="s">
        <v>246</v>
      </c>
      <c r="Q77" s="149" t="s">
        <v>497</v>
      </c>
      <c r="R77" s="150" t="str">
        <f t="shared" ca="1" si="24"/>
        <v>CAIXA SIFONADA, PVC, DN 100 X 100 X 50 MM, JUNTA ELÁSTICA, FORNECIDA E INSTALADA EM RAMAL DE DESCARGA OU EM RAMAL DE ESGOTO SANITÁRIO. AF_12/2014</v>
      </c>
      <c r="S77" s="151" t="str">
        <f t="shared" ca="1" si="13"/>
        <v>UN</v>
      </c>
      <c r="T77" s="152">
        <f ca="1">OFFSET(CÁLCULO!H$15,ROW($T77)-ROW(T$15),0)</f>
        <v>4</v>
      </c>
      <c r="U77" s="153">
        <v>25.92</v>
      </c>
      <c r="V77" s="154" t="s">
        <v>155</v>
      </c>
      <c r="W77" s="152">
        <f t="shared" ca="1" si="14"/>
        <v>33.01</v>
      </c>
      <c r="X77" s="155">
        <f t="shared" ca="1" si="15"/>
        <v>132.04</v>
      </c>
      <c r="Y77" s="156" t="s">
        <v>244</v>
      </c>
      <c r="Z77" t="str">
        <f t="shared" ca="1" si="16"/>
        <v>RA</v>
      </c>
      <c r="AA77" s="157">
        <f ca="1">IF($C77="S",IF($Z77="CP",$X77,IF($Z77="RA",(($X77)*QCI!$AA$3),0)),SomaAgrup)</f>
        <v>132.04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str">
        <f t="shared" ca="1" si="19"/>
        <v>SINAPI 89707</v>
      </c>
      <c r="AF77" s="160">
        <f t="shared" ca="1" si="20"/>
        <v>4398</v>
      </c>
      <c r="AG77" s="550">
        <f t="shared" ca="1" si="21"/>
        <v>25.92</v>
      </c>
      <c r="AH77" s="551">
        <f t="shared" ca="1" si="22"/>
        <v>0.27350000000000002</v>
      </c>
      <c r="AJ77" s="553">
        <v>4</v>
      </c>
      <c r="AL77" s="574"/>
      <c r="AM77" s="431">
        <f t="shared" ca="1" si="0"/>
        <v>132.04</v>
      </c>
      <c r="AN77" s="617">
        <f t="shared" ca="1" si="23"/>
        <v>33.01</v>
      </c>
    </row>
    <row r="78" spans="1:40" ht="38.2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6</v>
      </c>
      <c r="G78">
        <f t="shared" ca="1" si="6"/>
        <v>0</v>
      </c>
      <c r="H78">
        <f t="shared" ca="1" si="7"/>
        <v>0</v>
      </c>
      <c r="I78">
        <f t="shared" ca="1" si="8"/>
        <v>7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>F</v>
      </c>
      <c r="M78" s="145" t="s">
        <v>198</v>
      </c>
      <c r="N78" s="146" t="str">
        <f t="shared" ca="1" si="11"/>
        <v>Serviço</v>
      </c>
      <c r="O78" s="147" t="str">
        <f t="shared" ca="1" si="12"/>
        <v>1.6.7.</v>
      </c>
      <c r="P78" s="148" t="s">
        <v>246</v>
      </c>
      <c r="Q78" s="149" t="s">
        <v>498</v>
      </c>
      <c r="R78" s="150" t="str">
        <f t="shared" ca="1" si="24"/>
        <v>TE, PVC, SOLDÁVEL, DN 25MM, INSTALADO EM RAMAL DE DISTRIBUIÇÃO DE ÁGUA - FORNECIMENTO E INSTALAÇÃO. AF_12/2014</v>
      </c>
      <c r="S78" s="151" t="str">
        <f t="shared" ca="1" si="13"/>
        <v>UN</v>
      </c>
      <c r="T78" s="152">
        <f ca="1">OFFSET(CÁLCULO!H$15,ROW($T78)-ROW(T$15),0)</f>
        <v>10</v>
      </c>
      <c r="U78" s="153">
        <v>6.8</v>
      </c>
      <c r="V78" s="154" t="s">
        <v>155</v>
      </c>
      <c r="W78" s="152">
        <f t="shared" ca="1" si="14"/>
        <v>8.66</v>
      </c>
      <c r="X78" s="155">
        <f t="shared" ca="1" si="15"/>
        <v>86.6</v>
      </c>
      <c r="Y78" s="156" t="s">
        <v>244</v>
      </c>
      <c r="Z78" t="str">
        <f t="shared" ca="1" si="16"/>
        <v>RA</v>
      </c>
      <c r="AA78" s="157">
        <f ca="1">IF($C78="S",IF($Z78="CP",$X78,IF($Z78="RA",(($X78)*QCI!$AA$3),0)),SomaAgrup)</f>
        <v>86.6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str">
        <f t="shared" ca="1" si="19"/>
        <v>SINAPI 89440</v>
      </c>
      <c r="AF78" s="160">
        <f t="shared" ca="1" si="20"/>
        <v>3357</v>
      </c>
      <c r="AG78" s="550">
        <f t="shared" ca="1" si="21"/>
        <v>6.8</v>
      </c>
      <c r="AH78" s="551">
        <f t="shared" ca="1" si="22"/>
        <v>0.27350000000000002</v>
      </c>
      <c r="AJ78" s="553">
        <v>10</v>
      </c>
      <c r="AL78" s="574"/>
      <c r="AM78" s="431">
        <f ca="1">$X78</f>
        <v>86.6</v>
      </c>
      <c r="AN78" s="617">
        <f t="shared" ca="1" si="23"/>
        <v>8.66</v>
      </c>
    </row>
    <row r="79" spans="1:40" ht="38.25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6</v>
      </c>
      <c r="G79">
        <f t="shared" ca="1" si="6"/>
        <v>0</v>
      </c>
      <c r="H79">
        <f t="shared" ca="1" si="7"/>
        <v>0</v>
      </c>
      <c r="I79">
        <f t="shared" ca="1" si="8"/>
        <v>8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>F</v>
      </c>
      <c r="M79" s="145" t="s">
        <v>198</v>
      </c>
      <c r="N79" s="146" t="str">
        <f t="shared" ca="1" si="11"/>
        <v>Serviço</v>
      </c>
      <c r="O79" s="147" t="str">
        <f t="shared" ca="1" si="12"/>
        <v>1.6.8.</v>
      </c>
      <c r="P79" s="148" t="s">
        <v>246</v>
      </c>
      <c r="Q79" s="149" t="s">
        <v>499</v>
      </c>
      <c r="R79" s="150" t="str">
        <f t="shared" ca="1" si="24"/>
        <v>JOELHO 90 GRAUS, PVC, SERIE NORMAL, ESGOTO PREDIAL, DN 100 MM, JUNTA ELÁSTICA, FORNECIDO E INSTALADO EM RAMAL DE DESCARGA OU RAMAL DE ESGOTO SANITÁRIO. AF_12/2014</v>
      </c>
      <c r="S79" s="151" t="str">
        <f t="shared" ca="1" si="13"/>
        <v>UN</v>
      </c>
      <c r="T79" s="152">
        <f ca="1">OFFSET(CÁLCULO!H$15,ROW($T79)-ROW(T$15),0)</f>
        <v>14</v>
      </c>
      <c r="U79" s="153">
        <v>18.23</v>
      </c>
      <c r="V79" s="154" t="s">
        <v>155</v>
      </c>
      <c r="W79" s="152">
        <f t="shared" ca="1" si="14"/>
        <v>23.22</v>
      </c>
      <c r="X79" s="155">
        <f t="shared" ca="1" si="15"/>
        <v>325.08</v>
      </c>
      <c r="Y79" s="156" t="s">
        <v>244</v>
      </c>
      <c r="Z79" t="str">
        <f t="shared" ca="1" si="16"/>
        <v>RA</v>
      </c>
      <c r="AA79" s="157">
        <f ca="1">IF($C79="S",IF($Z79="CP",$X79,IF($Z79="RA",(($X79)*QCI!$AA$3),0)),SomaAgrup)</f>
        <v>325.08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str">
        <f t="shared" ca="1" si="19"/>
        <v>SINAPI 89744</v>
      </c>
      <c r="AF79" s="160">
        <f t="shared" ca="1" si="20"/>
        <v>3581</v>
      </c>
      <c r="AG79" s="550">
        <f t="shared" ca="1" si="21"/>
        <v>18.23</v>
      </c>
      <c r="AH79" s="551">
        <f t="shared" ca="1" si="22"/>
        <v>0.27350000000000002</v>
      </c>
      <c r="AJ79" s="553">
        <v>14</v>
      </c>
      <c r="AL79" s="574"/>
      <c r="AM79" s="431">
        <f t="shared" ca="1" si="0"/>
        <v>325.08</v>
      </c>
      <c r="AN79" s="617">
        <f t="shared" ca="1" si="23"/>
        <v>23.22</v>
      </c>
    </row>
    <row r="80" spans="1:40" ht="38.2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6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9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1.6.9.</v>
      </c>
      <c r="P80" s="148" t="s">
        <v>246</v>
      </c>
      <c r="Q80" s="149" t="s">
        <v>500</v>
      </c>
      <c r="R80" s="150" t="str">
        <f t="shared" ref="R80:R142" ca="1" si="37">IF($C80="S",REFERENCIA.Descricao,"(digite a descrição aqui)")</f>
        <v>JOELHO 90 GRAUS, PVC, SOLDÁVEL, DN 25MM, INSTALADO EM RAMAL OU SUB-RAMAL DE ÁGUA - FORNECIMENTO E INSTALAÇÃO. AF_12/2014</v>
      </c>
      <c r="S80" s="151" t="str">
        <f t="shared" ref="S80:S143" ca="1" si="38">REFERENCIA.Unidade</f>
        <v>UN</v>
      </c>
      <c r="T80" s="152">
        <f ca="1">OFFSET(CÁLCULO!H$15,ROW($T80)-ROW(T$15),0)</f>
        <v>14</v>
      </c>
      <c r="U80" s="153">
        <v>7.18</v>
      </c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9.14</v>
      </c>
      <c r="X80" s="155">
        <f t="shared" ref="X80:X143" ca="1" si="40">IF($C80="S",VTOTAL1,IF($C80=0,0,ROUND(SomaAgrup,15-13*$AF$11)))</f>
        <v>127.96</v>
      </c>
      <c r="Y80" s="156" t="s">
        <v>244</v>
      </c>
      <c r="Z80" t="str">
        <f t="shared" ref="Z80:Z143" ca="1" si="41">IF(AND($C80="S",$X80&gt;0),IF(ISBLANK($Y80),"RA",LEFT($Y80,2)),"")</f>
        <v>RA</v>
      </c>
      <c r="AA80" s="157">
        <f ca="1">IF($C80="S",IF($Z80="CP",$X80,IF($Z80="RA",(($X80)*QCI!$AA$3),0)),SomaAgrup)</f>
        <v>127.96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4">IF(AND($C80="S",ORÇAMENTO.CodBarra&lt;&gt;""),IF(ORÇAMENTO.Fonte="",ORÇAMENTO.CodBarra,CONCATENATE(ORÇAMENTO.Fonte," ",ORÇAMENTO.CodBarra)))</f>
        <v>SINAPI 89362</v>
      </c>
      <c r="AF80" s="160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3282</v>
      </c>
      <c r="AG80" s="550">
        <f t="shared" ref="AG80:AG143" ca="1" si="46">ROUND(IF(DESONERACAO="sim",REFERENCIA.Desonerado,REFERENCIA.NaoDesonerado),2)</f>
        <v>7.18</v>
      </c>
      <c r="AH80" s="551">
        <f t="shared" ref="AH80:AH143" ca="1" si="47">ROUND(IF(ISNUMBER(ORÇAMENTO.OpcaoBDI),ORÇAMENTO.OpcaoBDI,IF(LEFT(ORÇAMENTO.OpcaoBDI,3)="BDI",HLOOKUP(ORÇAMENTO.OpcaoBDI,$F$4:$H$5,2,FALSE),0)),15-11*$AF$9)</f>
        <v>0.27350000000000002</v>
      </c>
      <c r="AJ80" s="553">
        <v>14</v>
      </c>
      <c r="AL80" s="574"/>
      <c r="AM80" s="431">
        <f t="shared" ref="AM80:AM143" ca="1" si="48">$X80</f>
        <v>127.96</v>
      </c>
      <c r="AN80" s="617">
        <f t="shared" ref="AN80:AN143" ca="1" si="49">ROUND(ORÇAMENTO.CustoUnitario*(1+$AH80),2)</f>
        <v>9.14</v>
      </c>
    </row>
    <row r="81" spans="1:40" ht="25.5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6</v>
      </c>
      <c r="G81">
        <f t="shared" ca="1" si="30"/>
        <v>0</v>
      </c>
      <c r="H81">
        <f t="shared" ca="1" si="31"/>
        <v>0</v>
      </c>
      <c r="I81">
        <f t="shared" ca="1" si="32"/>
        <v>10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>F</v>
      </c>
      <c r="M81" s="145" t="s">
        <v>198</v>
      </c>
      <c r="N81" s="146" t="str">
        <f t="shared" ca="1" si="35"/>
        <v>Serviço</v>
      </c>
      <c r="O81" s="147" t="str">
        <f t="shared" ca="1" si="36"/>
        <v>1.6.10.</v>
      </c>
      <c r="P81" s="148" t="s">
        <v>246</v>
      </c>
      <c r="Q81" s="149" t="s">
        <v>501</v>
      </c>
      <c r="R81" s="150" t="str">
        <f t="shared" ca="1" si="37"/>
        <v>TORNEIRA CROMADA DE MESA, 1/2 OU 3/4, PARA LAVATÓRIO, PADRÃO POPULAR - FORNECIMENTO E INSTALAÇÃO. AF_01/2020</v>
      </c>
      <c r="S81" s="151" t="str">
        <f t="shared" ca="1" si="38"/>
        <v>UN</v>
      </c>
      <c r="T81" s="152">
        <f ca="1">OFFSET(CÁLCULO!H$15,ROW($T81)-ROW(T$15),0)</f>
        <v>5</v>
      </c>
      <c r="U81" s="153">
        <v>44.18</v>
      </c>
      <c r="V81" s="154" t="s">
        <v>155</v>
      </c>
      <c r="W81" s="152">
        <f t="shared" ca="1" si="39"/>
        <v>56.26</v>
      </c>
      <c r="X81" s="155">
        <f t="shared" ca="1" si="40"/>
        <v>281.3</v>
      </c>
      <c r="Y81" s="156" t="s">
        <v>244</v>
      </c>
      <c r="Z81" t="str">
        <f t="shared" ca="1" si="41"/>
        <v>RA</v>
      </c>
      <c r="AA81" s="157">
        <f ca="1">IF($C81="S",IF($Z81="CP",$X81,IF($Z81="RA",(($X81)*QCI!$AA$3),0)),SomaAgrup)</f>
        <v>281.3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str">
        <f t="shared" ca="1" si="44"/>
        <v>SINAPI 86906</v>
      </c>
      <c r="AF81" s="160">
        <f t="shared" ca="1" si="45"/>
        <v>4429</v>
      </c>
      <c r="AG81" s="550">
        <f t="shared" ca="1" si="46"/>
        <v>44.18</v>
      </c>
      <c r="AH81" s="551">
        <f t="shared" ca="1" si="47"/>
        <v>0.27350000000000002</v>
      </c>
      <c r="AJ81" s="553">
        <v>5</v>
      </c>
      <c r="AL81" s="574"/>
      <c r="AM81" s="431">
        <f t="shared" ca="1" si="48"/>
        <v>281.3</v>
      </c>
      <c r="AN81" s="617">
        <f t="shared" ca="1" si="49"/>
        <v>56.26</v>
      </c>
    </row>
    <row r="82" spans="1:40" ht="25.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6</v>
      </c>
      <c r="G82">
        <f t="shared" ca="1" si="30"/>
        <v>0</v>
      </c>
      <c r="H82">
        <f t="shared" ca="1" si="31"/>
        <v>0</v>
      </c>
      <c r="I82">
        <f t="shared" ca="1" si="32"/>
        <v>11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1.6.11.</v>
      </c>
      <c r="P82" s="148" t="s">
        <v>246</v>
      </c>
      <c r="Q82" s="149" t="s">
        <v>502</v>
      </c>
      <c r="R82" s="150" t="str">
        <f t="shared" ca="1" si="37"/>
        <v>REGISTRO DE GAVETA BRUTO, LATÃO, ROSCÁVEL, 3/4", FORNECIDO E INSTALADO EM RAMAL DE ÁGUA. AF_12/2014</v>
      </c>
      <c r="S82" s="151" t="str">
        <f t="shared" ca="1" si="38"/>
        <v>UN</v>
      </c>
      <c r="T82" s="152">
        <f ca="1">OFFSET(CÁLCULO!H$15,ROW($T82)-ROW(T$15),0)</f>
        <v>4</v>
      </c>
      <c r="U82" s="153">
        <v>31.69</v>
      </c>
      <c r="V82" s="154" t="s">
        <v>155</v>
      </c>
      <c r="W82" s="152">
        <f t="shared" ca="1" si="39"/>
        <v>40.36</v>
      </c>
      <c r="X82" s="155">
        <f t="shared" ca="1" si="40"/>
        <v>161.44</v>
      </c>
      <c r="Y82" s="156" t="s">
        <v>244</v>
      </c>
      <c r="Z82" t="str">
        <f t="shared" ca="1" si="41"/>
        <v>RA</v>
      </c>
      <c r="AA82" s="157">
        <f ca="1">IF($C82="S",IF($Z82="CP",$X82,IF($Z82="RA",(($X82)*QCI!$AA$3),0)),SomaAgrup)</f>
        <v>161.44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4"/>
        <v>SINAPI 89353</v>
      </c>
      <c r="AF82" s="160">
        <f t="shared" ca="1" si="45"/>
        <v>4551</v>
      </c>
      <c r="AG82" s="550">
        <f t="shared" ca="1" si="46"/>
        <v>31.69</v>
      </c>
      <c r="AH82" s="551">
        <f t="shared" ca="1" si="47"/>
        <v>0.27350000000000002</v>
      </c>
      <c r="AJ82" s="553">
        <v>4</v>
      </c>
      <c r="AL82" s="574"/>
      <c r="AM82" s="431">
        <f t="shared" ca="1" si="48"/>
        <v>161.44</v>
      </c>
      <c r="AN82" s="617">
        <f t="shared" ca="1" si="49"/>
        <v>40.36</v>
      </c>
    </row>
    <row r="83" spans="1:40" ht="38.25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6</v>
      </c>
      <c r="G83">
        <f t="shared" ca="1" si="30"/>
        <v>0</v>
      </c>
      <c r="H83">
        <f t="shared" ca="1" si="31"/>
        <v>0</v>
      </c>
      <c r="I83">
        <f t="shared" ca="1" si="32"/>
        <v>12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>F</v>
      </c>
      <c r="M83" s="145" t="s">
        <v>198</v>
      </c>
      <c r="N83" s="146" t="str">
        <f t="shared" ca="1" si="35"/>
        <v>Serviço</v>
      </c>
      <c r="O83" s="147" t="str">
        <f t="shared" ca="1" si="36"/>
        <v>1.6.12.</v>
      </c>
      <c r="P83" s="148" t="s">
        <v>246</v>
      </c>
      <c r="Q83" s="149" t="s">
        <v>503</v>
      </c>
      <c r="R83" s="150" t="str">
        <f t="shared" ca="1" si="37"/>
        <v>RALO SIFONADO, PVC, DN 100 X 40 MM, JUNTA SOLDÁVEL, FORNECIDO E INSTALADO EM RAMAL DE DESCARGA OU EM RAMAL DE ESGOTO SANITÁRIO. AF_12/2014</v>
      </c>
      <c r="S83" s="151" t="str">
        <f t="shared" ca="1" si="38"/>
        <v>UN</v>
      </c>
      <c r="T83" s="152">
        <f ca="1">OFFSET(CÁLCULO!H$15,ROW($T83)-ROW(T$15),0)</f>
        <v>2</v>
      </c>
      <c r="U83" s="153">
        <v>9.8000000000000007</v>
      </c>
      <c r="V83" s="154" t="s">
        <v>155</v>
      </c>
      <c r="W83" s="152">
        <f t="shared" ca="1" si="39"/>
        <v>12.48</v>
      </c>
      <c r="X83" s="155">
        <f t="shared" ca="1" si="40"/>
        <v>24.96</v>
      </c>
      <c r="Y83" s="156" t="s">
        <v>244</v>
      </c>
      <c r="Z83" t="str">
        <f t="shared" ca="1" si="41"/>
        <v>RA</v>
      </c>
      <c r="AA83" s="157">
        <f ca="1">IF($C83="S",IF($Z83="CP",$X83,IF($Z83="RA",(($X83)*QCI!$AA$3),0)),SomaAgrup)</f>
        <v>24.96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str">
        <f t="shared" ca="1" si="44"/>
        <v>SINAPI 89709</v>
      </c>
      <c r="AF83" s="160">
        <f t="shared" ca="1" si="45"/>
        <v>4400</v>
      </c>
      <c r="AG83" s="550">
        <f t="shared" ca="1" si="46"/>
        <v>9.8000000000000007</v>
      </c>
      <c r="AH83" s="551">
        <f t="shared" ca="1" si="47"/>
        <v>0.27350000000000002</v>
      </c>
      <c r="AJ83" s="553">
        <v>2</v>
      </c>
      <c r="AL83" s="574"/>
      <c r="AM83" s="431">
        <f t="shared" ca="1" si="48"/>
        <v>24.96</v>
      </c>
      <c r="AN83" s="617">
        <f t="shared" ca="1" si="49"/>
        <v>12.48</v>
      </c>
    </row>
    <row r="84" spans="1:40" ht="25.5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6</v>
      </c>
      <c r="G84">
        <f t="shared" ca="1" si="30"/>
        <v>0</v>
      </c>
      <c r="H84">
        <f t="shared" ca="1" si="31"/>
        <v>0</v>
      </c>
      <c r="I84">
        <f t="shared" ca="1" si="32"/>
        <v>13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>F</v>
      </c>
      <c r="M84" s="145" t="s">
        <v>198</v>
      </c>
      <c r="N84" s="146" t="str">
        <f t="shared" ca="1" si="35"/>
        <v>Serviço</v>
      </c>
      <c r="O84" s="147" t="str">
        <f t="shared" ca="1" si="36"/>
        <v>1.6.13.</v>
      </c>
      <c r="P84" s="148" t="s">
        <v>452</v>
      </c>
      <c r="Q84" s="149" t="s">
        <v>504</v>
      </c>
      <c r="R84" s="150" t="str">
        <f t="shared" ca="1" si="37"/>
        <v>CHUVEIRO COMUM EM PLASTICO BRANCO, COM CANO, 3 TEMPERATURAS, 5500 W (110/220 V)</v>
      </c>
      <c r="S84" s="151" t="str">
        <f t="shared" ca="1" si="38"/>
        <v xml:space="preserve">UN    </v>
      </c>
      <c r="T84" s="152">
        <f ca="1">OFFSET(CÁLCULO!H$15,ROW($T84)-ROW(T$15),0)</f>
        <v>1</v>
      </c>
      <c r="U84" s="153">
        <v>56.9</v>
      </c>
      <c r="V84" s="154" t="s">
        <v>155</v>
      </c>
      <c r="W84" s="152">
        <f t="shared" ca="1" si="39"/>
        <v>72.459999999999994</v>
      </c>
      <c r="X84" s="155">
        <f t="shared" ca="1" si="40"/>
        <v>72.459999999999994</v>
      </c>
      <c r="Y84" s="156" t="s">
        <v>244</v>
      </c>
      <c r="Z84" t="str">
        <f t="shared" ca="1" si="41"/>
        <v>RA</v>
      </c>
      <c r="AA84" s="157">
        <f ca="1">IF($C84="S",IF($Z84="CP",$X84,IF($Z84="RA",(($X84)*QCI!$AA$3),0)),SomaAgrup)</f>
        <v>72.459999999999994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str">
        <f t="shared" ca="1" si="44"/>
        <v>SINAPI-I 1368</v>
      </c>
      <c r="AF84" s="160">
        <f t="shared" ca="1" si="45"/>
        <v>7605</v>
      </c>
      <c r="AG84" s="550">
        <f t="shared" ca="1" si="46"/>
        <v>56.9</v>
      </c>
      <c r="AH84" s="551">
        <f t="shared" ca="1" si="47"/>
        <v>0.27350000000000002</v>
      </c>
      <c r="AJ84" s="553">
        <v>1</v>
      </c>
      <c r="AL84" s="574"/>
      <c r="AM84" s="431">
        <f t="shared" ca="1" si="48"/>
        <v>72.459999999999994</v>
      </c>
      <c r="AN84" s="617">
        <f t="shared" ca="1" si="49"/>
        <v>72.459999999999994</v>
      </c>
    </row>
    <row r="85" spans="1:40" ht="25.5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6</v>
      </c>
      <c r="G85">
        <f t="shared" ca="1" si="30"/>
        <v>0</v>
      </c>
      <c r="H85">
        <f t="shared" ca="1" si="31"/>
        <v>0</v>
      </c>
      <c r="I85">
        <f t="shared" ca="1" si="32"/>
        <v>14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>F</v>
      </c>
      <c r="M85" s="145" t="s">
        <v>198</v>
      </c>
      <c r="N85" s="146" t="str">
        <f t="shared" ca="1" si="35"/>
        <v>Serviço</v>
      </c>
      <c r="O85" s="147" t="str">
        <f t="shared" ca="1" si="36"/>
        <v>1.6.14.</v>
      </c>
      <c r="P85" s="148" t="s">
        <v>452</v>
      </c>
      <c r="Q85" s="149" t="s">
        <v>505</v>
      </c>
      <c r="R85" s="150" t="str">
        <f t="shared" ca="1" si="37"/>
        <v>SABONETEIRA PLASTICA TIPO DISPENSER PARA SABONETE LIQUIDO COM RESERVATORIO 800 A 1500 ML</v>
      </c>
      <c r="S85" s="151" t="str">
        <f t="shared" ca="1" si="38"/>
        <v xml:space="preserve">UN    </v>
      </c>
      <c r="T85" s="152">
        <f ca="1">OFFSET(CÁLCULO!H$15,ROW($T85)-ROW(T$15),0)</f>
        <v>1</v>
      </c>
      <c r="U85" s="153">
        <v>29.9</v>
      </c>
      <c r="V85" s="154" t="s">
        <v>155</v>
      </c>
      <c r="W85" s="152">
        <f t="shared" ca="1" si="39"/>
        <v>38.08</v>
      </c>
      <c r="X85" s="155">
        <f t="shared" ca="1" si="40"/>
        <v>38.08</v>
      </c>
      <c r="Y85" s="156" t="s">
        <v>244</v>
      </c>
      <c r="Z85" t="str">
        <f t="shared" ca="1" si="41"/>
        <v>RA</v>
      </c>
      <c r="AA85" s="157">
        <f ca="1">IF($C85="S",IF($Z85="CP",$X85,IF($Z85="RA",(($X85)*QCI!$AA$3),0)),SomaAgrup)</f>
        <v>38.08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str">
        <f t="shared" ca="1" si="44"/>
        <v>SINAPI-I 11758</v>
      </c>
      <c r="AF85" s="160">
        <f t="shared" ca="1" si="45"/>
        <v>10441</v>
      </c>
      <c r="AG85" s="550">
        <f t="shared" ca="1" si="46"/>
        <v>29.9</v>
      </c>
      <c r="AH85" s="551">
        <f t="shared" ca="1" si="47"/>
        <v>0.27350000000000002</v>
      </c>
      <c r="AJ85" s="553">
        <v>1</v>
      </c>
      <c r="AL85" s="574"/>
      <c r="AM85" s="431">
        <f t="shared" ca="1" si="48"/>
        <v>38.08</v>
      </c>
      <c r="AN85" s="617">
        <f t="shared" ca="1" si="49"/>
        <v>38.08</v>
      </c>
    </row>
    <row r="86" spans="1:40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6</v>
      </c>
      <c r="G86">
        <f t="shared" ca="1" si="30"/>
        <v>0</v>
      </c>
      <c r="H86">
        <f t="shared" ca="1" si="31"/>
        <v>0</v>
      </c>
      <c r="I86">
        <f t="shared" ca="1" si="32"/>
        <v>15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>F</v>
      </c>
      <c r="M86" s="145" t="s">
        <v>198</v>
      </c>
      <c r="N86" s="146" t="str">
        <f t="shared" ca="1" si="35"/>
        <v>Serviço</v>
      </c>
      <c r="O86" s="147" t="str">
        <f t="shared" ca="1" si="36"/>
        <v>1.6.15.</v>
      </c>
      <c r="P86" s="148" t="s">
        <v>452</v>
      </c>
      <c r="Q86" s="149" t="s">
        <v>506</v>
      </c>
      <c r="R86" s="150" t="str">
        <f t="shared" ca="1" si="37"/>
        <v>CAIXA D'AGUA EM POLIETILENO 500 LITROS, COM TAMPA</v>
      </c>
      <c r="S86" s="151" t="str">
        <f t="shared" ca="1" si="38"/>
        <v xml:space="preserve">UN    </v>
      </c>
      <c r="T86" s="152">
        <f ca="1">OFFSET(CÁLCULO!H$15,ROW($T86)-ROW(T$15),0)</f>
        <v>1</v>
      </c>
      <c r="U86" s="153">
        <v>196.99</v>
      </c>
      <c r="V86" s="154" t="s">
        <v>155</v>
      </c>
      <c r="W86" s="152">
        <f t="shared" ca="1" si="39"/>
        <v>250.87</v>
      </c>
      <c r="X86" s="155">
        <f t="shared" ca="1" si="40"/>
        <v>250.87</v>
      </c>
      <c r="Y86" s="156" t="s">
        <v>244</v>
      </c>
      <c r="Z86" t="str">
        <f t="shared" ca="1" si="41"/>
        <v>RA</v>
      </c>
      <c r="AA86" s="157">
        <f ca="1">IF($C86="S",IF($Z86="CP",$X86,IF($Z86="RA",(($X86)*QCI!$AA$3),0)),SomaAgrup)</f>
        <v>250.87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str">
        <f t="shared" ca="1" si="44"/>
        <v>SINAPI-I 34637</v>
      </c>
      <c r="AF86" s="160">
        <f t="shared" ca="1" si="45"/>
        <v>7270</v>
      </c>
      <c r="AG86" s="550">
        <f t="shared" ca="1" si="46"/>
        <v>196.99</v>
      </c>
      <c r="AH86" s="551">
        <f t="shared" ca="1" si="47"/>
        <v>0.27350000000000002</v>
      </c>
      <c r="AJ86" s="553">
        <v>1</v>
      </c>
      <c r="AL86" s="574"/>
      <c r="AM86" s="431">
        <f t="shared" ca="1" si="48"/>
        <v>250.87</v>
      </c>
      <c r="AN86" s="617">
        <f t="shared" ca="1" si="49"/>
        <v>250.87</v>
      </c>
    </row>
    <row r="87" spans="1:40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6</v>
      </c>
      <c r="G87">
        <f t="shared" ca="1" si="30"/>
        <v>0</v>
      </c>
      <c r="H87">
        <f t="shared" ca="1" si="31"/>
        <v>0</v>
      </c>
      <c r="I87">
        <f t="shared" ca="1" si="32"/>
        <v>16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>F</v>
      </c>
      <c r="M87" s="145" t="s">
        <v>198</v>
      </c>
      <c r="N87" s="146" t="str">
        <f t="shared" ca="1" si="35"/>
        <v>Serviço</v>
      </c>
      <c r="O87" s="147" t="str">
        <f t="shared" ca="1" si="36"/>
        <v>1.6.16.</v>
      </c>
      <c r="P87" s="148" t="s">
        <v>452</v>
      </c>
      <c r="Q87" s="149" t="s">
        <v>507</v>
      </c>
      <c r="R87" s="150" t="str">
        <f t="shared" ca="1" si="37"/>
        <v>LAVATORIO LOUCA BRANCA COM COLUNA *44 X 35,5* CM</v>
      </c>
      <c r="S87" s="151" t="str">
        <f t="shared" ca="1" si="38"/>
        <v xml:space="preserve">UN    </v>
      </c>
      <c r="T87" s="152">
        <f ca="1">OFFSET(CÁLCULO!H$15,ROW($T87)-ROW(T$15),0)</f>
        <v>1</v>
      </c>
      <c r="U87" s="153">
        <v>135.63</v>
      </c>
      <c r="V87" s="154" t="s">
        <v>155</v>
      </c>
      <c r="W87" s="152">
        <f t="shared" ca="1" si="39"/>
        <v>172.72</v>
      </c>
      <c r="X87" s="155">
        <f t="shared" ca="1" si="40"/>
        <v>172.72</v>
      </c>
      <c r="Y87" s="156" t="s">
        <v>244</v>
      </c>
      <c r="Z87" t="str">
        <f t="shared" ca="1" si="41"/>
        <v>RA</v>
      </c>
      <c r="AA87" s="157">
        <f ca="1">IF($C87="S",IF($Z87="CP",$X87,IF($Z87="RA",(($X87)*QCI!$AA$3),0)),SomaAgrup)</f>
        <v>172.72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str">
        <f t="shared" ca="1" si="44"/>
        <v>SINAPI-I 36794</v>
      </c>
      <c r="AF87" s="160">
        <f t="shared" ca="1" si="45"/>
        <v>9165</v>
      </c>
      <c r="AG87" s="550">
        <f t="shared" ca="1" si="46"/>
        <v>135.63</v>
      </c>
      <c r="AH87" s="551">
        <f t="shared" ca="1" si="47"/>
        <v>0.27350000000000002</v>
      </c>
      <c r="AJ87" s="553">
        <v>1</v>
      </c>
      <c r="AL87" s="574"/>
      <c r="AM87" s="431">
        <f t="shared" ca="1" si="48"/>
        <v>172.72</v>
      </c>
      <c r="AN87" s="617">
        <f t="shared" ca="1" si="49"/>
        <v>172.72</v>
      </c>
    </row>
    <row r="88" spans="1:40" ht="25.5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6</v>
      </c>
      <c r="G88">
        <f t="shared" ca="1" si="30"/>
        <v>0</v>
      </c>
      <c r="H88">
        <f t="shared" ca="1" si="31"/>
        <v>0</v>
      </c>
      <c r="I88">
        <f t="shared" ca="1" si="32"/>
        <v>17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>F</v>
      </c>
      <c r="M88" s="145" t="s">
        <v>198</v>
      </c>
      <c r="N88" s="146" t="str">
        <f t="shared" ca="1" si="35"/>
        <v>Serviço</v>
      </c>
      <c r="O88" s="147" t="str">
        <f t="shared" ca="1" si="36"/>
        <v>1.6.17.</v>
      </c>
      <c r="P88" s="148" t="s">
        <v>452</v>
      </c>
      <c r="Q88" s="149" t="s">
        <v>508</v>
      </c>
      <c r="R88" s="150" t="str">
        <f t="shared" ca="1" si="37"/>
        <v>TANQUE SIMPLES EM MARMORE SINTETICO SUSPENSO, CAPACIDADE *38* L, *60 X 60* CM</v>
      </c>
      <c r="S88" s="151" t="str">
        <f t="shared" ca="1" si="38"/>
        <v xml:space="preserve">UN    </v>
      </c>
      <c r="T88" s="152">
        <f ca="1">OFFSET(CÁLCULO!H$15,ROW($T88)-ROW(T$15),0)</f>
        <v>2</v>
      </c>
      <c r="U88" s="153">
        <v>172.38</v>
      </c>
      <c r="V88" s="154" t="s">
        <v>155</v>
      </c>
      <c r="W88" s="152">
        <f t="shared" ca="1" si="39"/>
        <v>219.53</v>
      </c>
      <c r="X88" s="155">
        <f t="shared" ca="1" si="40"/>
        <v>439.06</v>
      </c>
      <c r="Y88" s="156" t="s">
        <v>244</v>
      </c>
      <c r="Z88" t="str">
        <f t="shared" ca="1" si="41"/>
        <v>RA</v>
      </c>
      <c r="AA88" s="157">
        <f ca="1">IF($C88="S",IF($Z88="CP",$X88,IF($Z88="RA",(($X88)*QCI!$AA$3),0)),SomaAgrup)</f>
        <v>439.06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str">
        <f t="shared" ca="1" si="44"/>
        <v>SINAPI-I 20234</v>
      </c>
      <c r="AF88" s="160">
        <f t="shared" ca="1" si="45"/>
        <v>10624</v>
      </c>
      <c r="AG88" s="550">
        <f t="shared" ca="1" si="46"/>
        <v>172.38</v>
      </c>
      <c r="AH88" s="551">
        <f t="shared" ca="1" si="47"/>
        <v>0.27350000000000002</v>
      </c>
      <c r="AJ88" s="553">
        <v>2</v>
      </c>
      <c r="AL88" s="574"/>
      <c r="AM88" s="431">
        <f t="shared" ca="1" si="48"/>
        <v>439.06</v>
      </c>
      <c r="AN88" s="617">
        <f t="shared" ca="1" si="49"/>
        <v>219.53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6</v>
      </c>
      <c r="G89">
        <f t="shared" ca="1" si="30"/>
        <v>0</v>
      </c>
      <c r="H89">
        <f t="shared" ca="1" si="31"/>
        <v>0</v>
      </c>
      <c r="I89">
        <f t="shared" ca="1" si="32"/>
        <v>17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0.27350000000000002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6</v>
      </c>
      <c r="G90">
        <f t="shared" ca="1" si="30"/>
        <v>0</v>
      </c>
      <c r="H90">
        <f t="shared" ca="1" si="31"/>
        <v>0</v>
      </c>
      <c r="I90">
        <f t="shared" ca="1" si="32"/>
        <v>17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0.27350000000000002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x14ac:dyDescent="0.2">
      <c r="A91">
        <f t="shared" si="25"/>
        <v>1</v>
      </c>
      <c r="B91">
        <f t="shared" ca="1" si="26"/>
        <v>1</v>
      </c>
      <c r="C91">
        <f t="shared" ca="1" si="27"/>
        <v>1</v>
      </c>
      <c r="D91">
        <f t="shared" ca="1" si="28"/>
        <v>57</v>
      </c>
      <c r="E91">
        <f ca="1">IF($C91=1,OFFSET(E91,-1,0)+MAX(1,COUNTIF(QCI!$A$13:$A$24,OFFSET(ORÇAMENTO!E91,-1,0))),OFFSET(E91,-1,0))</f>
        <v>2</v>
      </c>
      <c r="F91">
        <f t="shared" ca="1" si="29"/>
        <v>0</v>
      </c>
      <c r="G91">
        <f t="shared" ca="1" si="30"/>
        <v>0</v>
      </c>
      <c r="H91">
        <f t="shared" ca="1" si="31"/>
        <v>0</v>
      </c>
      <c r="I91">
        <f t="shared" ca="1" si="32"/>
        <v>0</v>
      </c>
      <c r="J91">
        <f t="shared" ca="1" si="33"/>
        <v>175</v>
      </c>
      <c r="K91">
        <f ca="1">IF(OR($C91="S",$C91=0),0,MATCH(OFFSET($D91,0,$C91)+IF($C91&lt;&gt;1,1,COUNTIF(QCI!$A$13:$A$24,ORÇAMENTO!E91)),OFFSET($D91,1,$C91,ROW($C$266)-ROW($C91)),0))</f>
        <v>57</v>
      </c>
      <c r="L91" s="144" t="str">
        <f t="shared" ca="1" si="34"/>
        <v>F</v>
      </c>
      <c r="M91" s="145" t="s">
        <v>194</v>
      </c>
      <c r="N91" s="146" t="str">
        <f t="shared" ca="1" si="35"/>
        <v>Meta</v>
      </c>
      <c r="O91" s="147" t="str">
        <f t="shared" ca="1" si="36"/>
        <v>2.</v>
      </c>
      <c r="P91" s="148" t="s">
        <v>246</v>
      </c>
      <c r="Q91" s="149"/>
      <c r="R91" s="150" t="str">
        <f ca="1">IF($C91="S",REFERENCIA.Descricao,"(SALA DE AULA)")</f>
        <v>(SALA DE AULA)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60698.32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60698.320000000007</v>
      </c>
      <c r="AB91" s="158">
        <f t="shared" ca="1" si="42"/>
        <v>0</v>
      </c>
      <c r="AC91" s="159" t="str">
        <f t="shared" ca="1" si="43"/>
        <v/>
      </c>
      <c r="AD91" s="105">
        <f ca="1">IF(C91&lt;=CRONO.NivelExibicao,MAX($AD$15:OFFSET(AD91,-1,0))+IF($C91&lt;&gt;1,1,MAX(1,COUNTIF(QCI!$A$13:$A$24,OFFSET($E91,-1,0)))),"")</f>
        <v>8</v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0.27350000000000002</v>
      </c>
      <c r="AJ91" s="553"/>
      <c r="AL91" s="574"/>
      <c r="AM91" s="431">
        <f t="shared" ca="1" si="48"/>
        <v>60698.32</v>
      </c>
      <c r="AN91" s="617">
        <f t="shared" ca="1" si="49"/>
        <v>0</v>
      </c>
    </row>
    <row r="92" spans="1:40" x14ac:dyDescent="0.2">
      <c r="A92" t="str">
        <f t="shared" si="25"/>
        <v>S</v>
      </c>
      <c r="B92">
        <f t="shared" ca="1" si="26"/>
        <v>2</v>
      </c>
      <c r="C92">
        <f t="shared" ca="1" si="27"/>
        <v>2</v>
      </c>
      <c r="D92">
        <f t="shared" ca="1" si="28"/>
        <v>9</v>
      </c>
      <c r="E92">
        <f ca="1">IF($C92=1,OFFSET(E92,-1,0)+MAX(1,COUNTIF(QCI!$A$13:$A$24,OFFSET(ORÇAMENTO!E92,-1,0))),OFFSET(E92,-1,0))</f>
        <v>2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0</v>
      </c>
      <c r="J92">
        <f t="shared" ca="1" si="33"/>
        <v>56</v>
      </c>
      <c r="K92">
        <f ca="1">IF(OR($C92="S",$C92=0),0,MATCH(OFFSET($D92,0,$C92)+IF($C92&lt;&gt;1,1,COUNTIF(QCI!$A$13:$A$24,ORÇAMENTO!E92)),OFFSET($D92,1,$C92,ROW($C$266)-ROW($C92)),0))</f>
        <v>9</v>
      </c>
      <c r="L92" s="144" t="str">
        <f t="shared" ca="1" si="34"/>
        <v>F</v>
      </c>
      <c r="M92" s="145" t="s">
        <v>198</v>
      </c>
      <c r="N92" s="146" t="str">
        <f t="shared" ca="1" si="35"/>
        <v>Nível 2</v>
      </c>
      <c r="O92" s="147" t="str">
        <f t="shared" ca="1" si="36"/>
        <v>2.1.</v>
      </c>
      <c r="P92" s="148" t="s">
        <v>246</v>
      </c>
      <c r="Q92" s="149"/>
      <c r="R92" s="150" t="str">
        <f ca="1">IF($C92="S",REFERENCIA.Descricao,"(FUNDAÇÕES RASAS , VIGAS , PILARES, VIGAS BALDRAME)")</f>
        <v>(FUNDAÇÕES RASAS , VIGAS , PILARES, VIGAS BALDRAME)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14379.51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14379.509999999998</v>
      </c>
      <c r="AB92" s="158">
        <f t="shared" ca="1" si="42"/>
        <v>0</v>
      </c>
      <c r="AC92" s="159" t="str">
        <f t="shared" ca="1" si="43"/>
        <v/>
      </c>
      <c r="AD92" s="105">
        <f ca="1">IF(C92&lt;=CRONO.NivelExibicao,MAX($AD$15:OFFSET(AD92,-1,0))+IF($C92&lt;&gt;1,1,MAX(1,COUNTIF(QCI!$A$13:$A$24,OFFSET($E92,-1,0)))),"")</f>
        <v>9</v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0.27350000000000002</v>
      </c>
      <c r="AJ92" s="553"/>
      <c r="AL92" s="574"/>
      <c r="AM92" s="431">
        <f t="shared" ca="1" si="48"/>
        <v>14379.51</v>
      </c>
      <c r="AN92" s="617">
        <f t="shared" ca="1" si="49"/>
        <v>0</v>
      </c>
    </row>
    <row r="93" spans="1:40" ht="25.5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2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>F</v>
      </c>
      <c r="M93" s="145" t="s">
        <v>198</v>
      </c>
      <c r="N93" s="146" t="str">
        <f t="shared" ca="1" si="35"/>
        <v>Serviço</v>
      </c>
      <c r="O93" s="147" t="str">
        <f t="shared" ca="1" si="36"/>
        <v>2.1.1.</v>
      </c>
      <c r="P93" s="148" t="s">
        <v>452</v>
      </c>
      <c r="Q93" s="149" t="s">
        <v>460</v>
      </c>
      <c r="R93" s="150" t="str">
        <f t="shared" ca="1" si="37"/>
        <v>TABUA DE MADEIRA NAO APARELHADA *2,5 X 30* CM, CEDRINHO OU EQUIVALENTE DA REGIAO</v>
      </c>
      <c r="S93" s="151" t="str">
        <f t="shared" ca="1" si="38"/>
        <v xml:space="preserve">M     </v>
      </c>
      <c r="T93" s="152">
        <f ca="1">OFFSET(CÁLCULO!H$15,ROW($T93)-ROW(T$15),0)</f>
        <v>112</v>
      </c>
      <c r="U93" s="153">
        <v>12.26</v>
      </c>
      <c r="V93" s="154" t="s">
        <v>155</v>
      </c>
      <c r="W93" s="152">
        <f t="shared" ca="1" si="39"/>
        <v>15.61</v>
      </c>
      <c r="X93" s="155">
        <f t="shared" ca="1" si="40"/>
        <v>1748.32</v>
      </c>
      <c r="Y93" s="156" t="s">
        <v>244</v>
      </c>
      <c r="Z93" t="str">
        <f t="shared" ca="1" si="41"/>
        <v>RA</v>
      </c>
      <c r="AA93" s="157">
        <f ca="1">IF($C93="S",IF($Z93="CP",$X93,IF($Z93="RA",(($X93)*QCI!$AA$3),0)),SomaAgrup)</f>
        <v>1748.32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str">
        <f t="shared" ca="1" si="44"/>
        <v>SINAPI-I 6189</v>
      </c>
      <c r="AF93" s="160">
        <f t="shared" ca="1" si="45"/>
        <v>10565</v>
      </c>
      <c r="AG93" s="550">
        <f t="shared" ca="1" si="46"/>
        <v>12.26</v>
      </c>
      <c r="AH93" s="551">
        <f t="shared" ca="1" si="47"/>
        <v>0.27350000000000002</v>
      </c>
      <c r="AJ93" s="553">
        <v>112</v>
      </c>
      <c r="AL93" s="574"/>
      <c r="AM93" s="431">
        <f t="shared" ca="1" si="48"/>
        <v>1748.32</v>
      </c>
      <c r="AN93" s="617">
        <f t="shared" ca="1" si="49"/>
        <v>15.61</v>
      </c>
    </row>
    <row r="94" spans="1:40" ht="25.5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2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2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>F</v>
      </c>
      <c r="M94" s="145" t="s">
        <v>198</v>
      </c>
      <c r="N94" s="146" t="str">
        <f t="shared" ca="1" si="35"/>
        <v>Serviço</v>
      </c>
      <c r="O94" s="147" t="str">
        <f t="shared" ca="1" si="36"/>
        <v>2.1.2.</v>
      </c>
      <c r="P94" s="148" t="s">
        <v>246</v>
      </c>
      <c r="Q94" s="149" t="s">
        <v>459</v>
      </c>
      <c r="R94" s="150" t="str">
        <f t="shared" ca="1" si="37"/>
        <v>LASTRO COM MATERIAL GRANULAR, APLICAÇÃO EM PISOS OU RADIERS, ESPESSURA DE *5 CM*. AF_08/2017</v>
      </c>
      <c r="S94" s="151" t="str">
        <f t="shared" ca="1" si="38"/>
        <v>M3</v>
      </c>
      <c r="T94" s="152">
        <f ca="1">OFFSET(CÁLCULO!H$15,ROW($T94)-ROW(T$15),0)</f>
        <v>4.8</v>
      </c>
      <c r="U94" s="153">
        <v>85.14</v>
      </c>
      <c r="V94" s="154" t="s">
        <v>155</v>
      </c>
      <c r="W94" s="152">
        <f t="shared" ca="1" si="39"/>
        <v>108.43</v>
      </c>
      <c r="X94" s="155">
        <f t="shared" ca="1" si="40"/>
        <v>520.46</v>
      </c>
      <c r="Y94" s="156" t="s">
        <v>244</v>
      </c>
      <c r="Z94" t="str">
        <f t="shared" ca="1" si="41"/>
        <v>RA</v>
      </c>
      <c r="AA94" s="157">
        <f ca="1">IF($C94="S",IF($Z94="CP",$X94,IF($Z94="RA",(($X94)*QCI!$AA$3),0)),SomaAgrup)</f>
        <v>520.46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str">
        <f t="shared" ca="1" si="44"/>
        <v>SINAPI 96622</v>
      </c>
      <c r="AF94" s="160">
        <f t="shared" ca="1" si="45"/>
        <v>1940</v>
      </c>
      <c r="AG94" s="550">
        <f t="shared" ca="1" si="46"/>
        <v>85.14</v>
      </c>
      <c r="AH94" s="551">
        <f t="shared" ca="1" si="47"/>
        <v>0.27350000000000002</v>
      </c>
      <c r="AJ94" s="553">
        <v>4.8</v>
      </c>
      <c r="AL94" s="574"/>
      <c r="AM94" s="431">
        <f t="shared" ca="1" si="48"/>
        <v>520.46</v>
      </c>
      <c r="AN94" s="617">
        <f t="shared" ca="1" si="49"/>
        <v>108.43</v>
      </c>
    </row>
    <row r="95" spans="1:40" ht="5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2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3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>F</v>
      </c>
      <c r="M95" s="145" t="s">
        <v>198</v>
      </c>
      <c r="N95" s="146" t="str">
        <f t="shared" ca="1" si="35"/>
        <v>Serviço</v>
      </c>
      <c r="O95" s="147" t="str">
        <f t="shared" ca="1" si="36"/>
        <v>2.1.3.</v>
      </c>
      <c r="P95" s="148" t="s">
        <v>246</v>
      </c>
      <c r="Q95" s="149" t="s">
        <v>537</v>
      </c>
      <c r="R95" s="150" t="str">
        <f t="shared" ca="1" si="37"/>
        <v>ALVENARIA DE VEDAÇÃO DE BLOCOS CERÂMICOS FURADOS NA HORIZONTAL DE 9X14X19CM (ESPESSURA 9CM) DE PAREDES COM ÁREA LÍQUIDA MAIOR OU IGUAL A 6M² SEM VÃOS E ARGAMASSA DE ASSENTAMENTO COM PREPARO EM BETONEIRA. AF_06/2014</v>
      </c>
      <c r="S95" s="151" t="str">
        <f t="shared" ca="1" si="38"/>
        <v>M2</v>
      </c>
      <c r="T95" s="152">
        <f ca="1">OFFSET(CÁLCULO!H$15,ROW($T95)-ROW(T$15),0)</f>
        <v>76.56</v>
      </c>
      <c r="U95" s="153">
        <v>51.82</v>
      </c>
      <c r="V95" s="154" t="s">
        <v>155</v>
      </c>
      <c r="W95" s="152">
        <f t="shared" ca="1" si="39"/>
        <v>65.989999999999995</v>
      </c>
      <c r="X95" s="155">
        <f t="shared" ca="1" si="40"/>
        <v>5052.1899999999996</v>
      </c>
      <c r="Y95" s="156" t="s">
        <v>244</v>
      </c>
      <c r="Z95" t="str">
        <f t="shared" ca="1" si="41"/>
        <v>RA</v>
      </c>
      <c r="AA95" s="157">
        <f ca="1">IF($C95="S",IF($Z95="CP",$X95,IF($Z95="RA",(($X95)*QCI!$AA$3),0)),SomaAgrup)</f>
        <v>5052.1899999999996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str">
        <f t="shared" ca="1" si="44"/>
        <v>SINAPI 87507</v>
      </c>
      <c r="AF95" s="160">
        <f t="shared" ca="1" si="45"/>
        <v>4945</v>
      </c>
      <c r="AG95" s="550">
        <f t="shared" ca="1" si="46"/>
        <v>62.01</v>
      </c>
      <c r="AH95" s="551">
        <f t="shared" ca="1" si="47"/>
        <v>0.27350000000000002</v>
      </c>
      <c r="AJ95" s="553">
        <v>76.56</v>
      </c>
      <c r="AL95" s="574"/>
      <c r="AM95" s="431">
        <f t="shared" ca="1" si="48"/>
        <v>5052.1899999999996</v>
      </c>
      <c r="AN95" s="617">
        <f t="shared" ca="1" si="49"/>
        <v>65.989999999999995</v>
      </c>
    </row>
    <row r="96" spans="1:40" ht="25.5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2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4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>F</v>
      </c>
      <c r="M96" s="145" t="s">
        <v>198</v>
      </c>
      <c r="N96" s="146" t="str">
        <f t="shared" ca="1" si="35"/>
        <v>Serviço</v>
      </c>
      <c r="O96" s="147" t="str">
        <f t="shared" ca="1" si="36"/>
        <v>2.1.4.</v>
      </c>
      <c r="P96" s="148" t="s">
        <v>246</v>
      </c>
      <c r="Q96" s="149" t="s">
        <v>455</v>
      </c>
      <c r="R96" s="150" t="str">
        <f t="shared" ca="1" si="37"/>
        <v>ESCAVACAO MECANICA CAMPO ABERTO EM SOLO EXCETO ROCHA ATE 2,00M PROFUNDIDADE</v>
      </c>
      <c r="S96" s="151" t="str">
        <f t="shared" ca="1" si="38"/>
        <v>M3</v>
      </c>
      <c r="T96" s="152">
        <f ca="1">OFFSET(CÁLCULO!H$15,ROW($T96)-ROW(T$15),0)</f>
        <v>1.29</v>
      </c>
      <c r="U96" s="153">
        <v>1.96</v>
      </c>
      <c r="V96" s="154" t="s">
        <v>155</v>
      </c>
      <c r="W96" s="152">
        <f t="shared" ca="1" si="39"/>
        <v>2.5</v>
      </c>
      <c r="X96" s="155">
        <f t="shared" ca="1" si="40"/>
        <v>3.23</v>
      </c>
      <c r="Y96" s="156" t="s">
        <v>244</v>
      </c>
      <c r="Z96" t="str">
        <f t="shared" ca="1" si="41"/>
        <v>RA</v>
      </c>
      <c r="AA96" s="157">
        <f ca="1">IF($C96="S",IF($Z96="CP",$X96,IF($Z96="RA",(($X96)*QCI!$AA$3),0)),SomaAgrup)</f>
        <v>3.23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str">
        <f t="shared" ca="1" si="44"/>
        <v>SINAPI 79480</v>
      </c>
      <c r="AF96" s="160">
        <f t="shared" ca="1" si="45"/>
        <v>4723</v>
      </c>
      <c r="AG96" s="550">
        <f t="shared" ca="1" si="46"/>
        <v>1.96</v>
      </c>
      <c r="AH96" s="551">
        <f t="shared" ca="1" si="47"/>
        <v>0.27350000000000002</v>
      </c>
      <c r="AJ96" s="553">
        <v>1.29</v>
      </c>
      <c r="AL96" s="574"/>
      <c r="AM96" s="431">
        <f t="shared" ca="1" si="48"/>
        <v>3.23</v>
      </c>
      <c r="AN96" s="617">
        <f t="shared" ca="1" si="49"/>
        <v>2.5</v>
      </c>
    </row>
    <row r="97" spans="1:40" ht="25.5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2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5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>F</v>
      </c>
      <c r="M97" s="145" t="s">
        <v>198</v>
      </c>
      <c r="N97" s="146" t="str">
        <f t="shared" ca="1" si="35"/>
        <v>Serviço</v>
      </c>
      <c r="O97" s="147" t="str">
        <f t="shared" ca="1" si="36"/>
        <v>2.1.5.</v>
      </c>
      <c r="P97" s="148" t="s">
        <v>246</v>
      </c>
      <c r="Q97" s="149" t="s">
        <v>456</v>
      </c>
      <c r="R97" s="150" t="str">
        <f t="shared" ca="1" si="37"/>
        <v>CONCRETO FCK = 20MPA, TRAÇO 1:2,7:3 (CIMENTO/ AREIA MÉDIA/ BRITA 1)  - PREPARO MECÂNICO COM BETONEIRA 400 L. AF_07/2016</v>
      </c>
      <c r="S97" s="151" t="str">
        <f t="shared" ca="1" si="38"/>
        <v>M3</v>
      </c>
      <c r="T97" s="152">
        <f ca="1">OFFSET(CÁLCULO!H$15,ROW($T97)-ROW(T$15),0)</f>
        <v>4.3099999999999996</v>
      </c>
      <c r="U97" s="153">
        <v>286.67</v>
      </c>
      <c r="V97" s="154" t="s">
        <v>155</v>
      </c>
      <c r="W97" s="152">
        <f t="shared" ca="1" si="39"/>
        <v>365.07</v>
      </c>
      <c r="X97" s="155">
        <f t="shared" ca="1" si="40"/>
        <v>1573.45</v>
      </c>
      <c r="Y97" s="156" t="s">
        <v>244</v>
      </c>
      <c r="Z97" t="str">
        <f t="shared" ca="1" si="41"/>
        <v>RA</v>
      </c>
      <c r="AA97" s="157">
        <f ca="1">IF($C97="S",IF($Z97="CP",$X97,IF($Z97="RA",(($X97)*QCI!$AA$3),0)),SomaAgrup)</f>
        <v>1573.45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str">
        <f t="shared" ca="1" si="44"/>
        <v>SINAPI 94964</v>
      </c>
      <c r="AF97" s="160">
        <f t="shared" ca="1" si="45"/>
        <v>2307</v>
      </c>
      <c r="AG97" s="550">
        <f t="shared" ca="1" si="46"/>
        <v>286.67</v>
      </c>
      <c r="AH97" s="551">
        <f t="shared" ca="1" si="47"/>
        <v>0.27350000000000002</v>
      </c>
      <c r="AJ97" s="553">
        <v>4.3099999999999996</v>
      </c>
      <c r="AL97" s="574"/>
      <c r="AM97" s="431">
        <f t="shared" ca="1" si="48"/>
        <v>1573.45</v>
      </c>
      <c r="AN97" s="617">
        <f t="shared" ca="1" si="49"/>
        <v>365.07</v>
      </c>
    </row>
    <row r="98" spans="1:40" ht="5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2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6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>F</v>
      </c>
      <c r="M98" s="145" t="s">
        <v>198</v>
      </c>
      <c r="N98" s="146" t="str">
        <f t="shared" ca="1" si="35"/>
        <v>Serviço</v>
      </c>
      <c r="O98" s="147" t="str">
        <f t="shared" ca="1" si="36"/>
        <v>2.1.6.</v>
      </c>
      <c r="P98" s="148" t="s">
        <v>246</v>
      </c>
      <c r="Q98" s="149" t="s">
        <v>457</v>
      </c>
      <c r="R98" s="150" t="str">
        <f t="shared" ca="1" si="37"/>
        <v>ARMAÇÃO DE PILAR OU VIGA DE UMA ESTRUTURA CONVENCIONAL DE CONCRETO ARMADO EM UM EDIFÍCIO DE MÚLTIPLOS PAVIMENTOS UTILIZANDO AÇO CA-50 DE 6,3 MM - MONTAGEM. AF_12/2015</v>
      </c>
      <c r="S98" s="151" t="str">
        <f t="shared" ca="1" si="38"/>
        <v>KG</v>
      </c>
      <c r="T98" s="152">
        <f ca="1">OFFSET(CÁLCULO!H$15,ROW($T98)-ROW(T$15),0)</f>
        <v>166.14</v>
      </c>
      <c r="U98" s="153">
        <v>9.2200000000000006</v>
      </c>
      <c r="V98" s="154" t="s">
        <v>155</v>
      </c>
      <c r="W98" s="152">
        <f t="shared" ca="1" si="39"/>
        <v>11.74</v>
      </c>
      <c r="X98" s="155">
        <f t="shared" ca="1" si="40"/>
        <v>1950.48</v>
      </c>
      <c r="Y98" s="156" t="s">
        <v>244</v>
      </c>
      <c r="Z98" t="str">
        <f t="shared" ca="1" si="41"/>
        <v>RA</v>
      </c>
      <c r="AA98" s="157">
        <f ca="1">IF($C98="S",IF($Z98="CP",$X98,IF($Z98="RA",(($X98)*QCI!$AA$3),0)),SomaAgrup)</f>
        <v>1950.48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str">
        <f t="shared" ca="1" si="44"/>
        <v>SINAPI 92760</v>
      </c>
      <c r="AF98" s="160">
        <f t="shared" ca="1" si="45"/>
        <v>2153</v>
      </c>
      <c r="AG98" s="550">
        <f t="shared" ca="1" si="46"/>
        <v>9.2200000000000006</v>
      </c>
      <c r="AH98" s="551">
        <f t="shared" ca="1" si="47"/>
        <v>0.27350000000000002</v>
      </c>
      <c r="AJ98" s="553">
        <v>166.14</v>
      </c>
      <c r="AL98" s="574"/>
      <c r="AM98" s="431">
        <f t="shared" ca="1" si="48"/>
        <v>1950.48</v>
      </c>
      <c r="AN98" s="617">
        <f t="shared" ca="1" si="49"/>
        <v>11.74</v>
      </c>
    </row>
    <row r="99" spans="1:40" ht="5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2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7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>F</v>
      </c>
      <c r="M99" s="145" t="s">
        <v>198</v>
      </c>
      <c r="N99" s="146" t="str">
        <f t="shared" ca="1" si="35"/>
        <v>Serviço</v>
      </c>
      <c r="O99" s="147" t="str">
        <f t="shared" ca="1" si="36"/>
        <v>2.1.7.</v>
      </c>
      <c r="P99" s="148" t="s">
        <v>246</v>
      </c>
      <c r="Q99" s="149" t="s">
        <v>458</v>
      </c>
      <c r="R99" s="150" t="str">
        <f t="shared" ca="1" si="37"/>
        <v>ARMAÇÃO DE PILAR OU VIGA DE UMA ESTRUTURA CONVENCIONAL DE CONCRETO ARMADO EM UM EDIFÍCIO DE MÚLTIPLOS PAVIMENTOS UTILIZANDO AÇO CA-50 DE 10,0 MM - MONTAGEM. AF_12/2015</v>
      </c>
      <c r="S99" s="151" t="str">
        <f t="shared" ca="1" si="38"/>
        <v>KG</v>
      </c>
      <c r="T99" s="152">
        <f ca="1">OFFSET(CÁLCULO!H$15,ROW($T99)-ROW(T$15),0)</f>
        <v>379.31</v>
      </c>
      <c r="U99" s="153">
        <v>7.31</v>
      </c>
      <c r="V99" s="154" t="s">
        <v>155</v>
      </c>
      <c r="W99" s="152">
        <f t="shared" ca="1" si="39"/>
        <v>9.31</v>
      </c>
      <c r="X99" s="155">
        <f t="shared" ca="1" si="40"/>
        <v>3531.38</v>
      </c>
      <c r="Y99" s="156" t="s">
        <v>244</v>
      </c>
      <c r="Z99" t="str">
        <f t="shared" ca="1" si="41"/>
        <v>RA</v>
      </c>
      <c r="AA99" s="157">
        <f ca="1">IF($C99="S",IF($Z99="CP",$X99,IF($Z99="RA",(($X99)*QCI!$AA$3),0)),SomaAgrup)</f>
        <v>3531.38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str">
        <f t="shared" ca="1" si="44"/>
        <v>SINAPI 92762</v>
      </c>
      <c r="AF99" s="160">
        <f t="shared" ca="1" si="45"/>
        <v>2155</v>
      </c>
      <c r="AG99" s="550">
        <f t="shared" ca="1" si="46"/>
        <v>7.31</v>
      </c>
      <c r="AH99" s="551">
        <f t="shared" ca="1" si="47"/>
        <v>0.27350000000000002</v>
      </c>
      <c r="AJ99" s="553">
        <v>379.31</v>
      </c>
      <c r="AL99" s="574"/>
      <c r="AM99" s="431">
        <f t="shared" ca="1" si="48"/>
        <v>3531.38</v>
      </c>
      <c r="AN99" s="617">
        <f t="shared" ca="1" si="49"/>
        <v>9.31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2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7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0.27350000000000002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x14ac:dyDescent="0.2">
      <c r="A101">
        <f t="shared" si="25"/>
        <v>2</v>
      </c>
      <c r="B101">
        <f t="shared" ca="1" si="26"/>
        <v>2</v>
      </c>
      <c r="C101">
        <f t="shared" ca="1" si="27"/>
        <v>2</v>
      </c>
      <c r="D101">
        <f t="shared" ca="1" si="28"/>
        <v>7</v>
      </c>
      <c r="E101">
        <f ca="1">IF($C101=1,OFFSET(E101,-1,0)+MAX(1,COUNTIF(QCI!$A$13:$A$24,OFFSET(ORÇAMENTO!E101,-1,0))),OFFSET(E101,-1,0))</f>
        <v>2</v>
      </c>
      <c r="F101">
        <f t="shared" ca="1" si="29"/>
        <v>2</v>
      </c>
      <c r="G101">
        <f t="shared" ca="1" si="30"/>
        <v>0</v>
      </c>
      <c r="H101">
        <f t="shared" ca="1" si="31"/>
        <v>0</v>
      </c>
      <c r="I101">
        <f t="shared" ca="1" si="32"/>
        <v>0</v>
      </c>
      <c r="J101">
        <f t="shared" ca="1" si="33"/>
        <v>47</v>
      </c>
      <c r="K101">
        <f ca="1">IF(OR($C101="S",$C101=0),0,MATCH(OFFSET($D101,0,$C101)+IF($C101&lt;&gt;1,1,COUNTIF(QCI!$A$13:$A$24,ORÇAMENTO!E101)),OFFSET($D101,1,$C101,ROW($C$266)-ROW($C101)),0))</f>
        <v>7</v>
      </c>
      <c r="L101" s="144" t="str">
        <f t="shared" ca="1" si="34"/>
        <v>F</v>
      </c>
      <c r="M101" s="145" t="s">
        <v>195</v>
      </c>
      <c r="N101" s="146" t="str">
        <f t="shared" ca="1" si="35"/>
        <v>Nível 2</v>
      </c>
      <c r="O101" s="147" t="str">
        <f t="shared" ca="1" si="36"/>
        <v>2.2.</v>
      </c>
      <c r="P101" s="148" t="s">
        <v>246</v>
      </c>
      <c r="Q101" s="149"/>
      <c r="R101" s="150" t="str">
        <f ca="1">IF($C101="S",REFERENCIA.Descricao,"(COBERTURAS / ESTRUTURA METALICA)")</f>
        <v>(COBERTURAS / ESTRUTURA METALICA)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13063.01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13063.01</v>
      </c>
      <c r="AB101" s="158">
        <f t="shared" ca="1" si="42"/>
        <v>0</v>
      </c>
      <c r="AC101" s="159" t="str">
        <f t="shared" ca="1" si="43"/>
        <v/>
      </c>
      <c r="AD101" s="105">
        <f ca="1">IF(C101&lt;=CRONO.NivelExibicao,MAX($AD$15:OFFSET(AD101,-1,0))+IF($C101&lt;&gt;1,1,MAX(1,COUNTIF(QCI!$A$13:$A$24,OFFSET($E101,-1,0)))),"")</f>
        <v>10</v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0.27350000000000002</v>
      </c>
      <c r="AJ101" s="553"/>
      <c r="AL101" s="574"/>
      <c r="AM101" s="431">
        <f t="shared" ca="1" si="48"/>
        <v>13063.01</v>
      </c>
      <c r="AN101" s="617">
        <f t="shared" ca="1" si="49"/>
        <v>0</v>
      </c>
    </row>
    <row r="102" spans="1:40" ht="25.5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2</v>
      </c>
      <c r="F102">
        <f t="shared" ca="1" si="29"/>
        <v>2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>F</v>
      </c>
      <c r="M102" s="145" t="s">
        <v>198</v>
      </c>
      <c r="N102" s="146" t="str">
        <f t="shared" ca="1" si="35"/>
        <v>Serviço</v>
      </c>
      <c r="O102" s="147" t="str">
        <f t="shared" ca="1" si="36"/>
        <v>2.2.1.</v>
      </c>
      <c r="P102" s="148" t="s">
        <v>528</v>
      </c>
      <c r="Q102" s="149" t="s">
        <v>539</v>
      </c>
      <c r="R102" s="150" t="str">
        <f t="shared" ca="1" si="37"/>
        <v>TABEIRA (espelho) DE MADEIRA DE 2,50CMX20CM, APARELHADA PARA BEIRAL</v>
      </c>
      <c r="S102" s="151" t="str">
        <f t="shared" ca="1" si="38"/>
        <v>M</v>
      </c>
      <c r="T102" s="152">
        <f ca="1">OFFSET(CÁLCULO!H$15,ROW($T102)-ROW(T$15),0)</f>
        <v>30.8</v>
      </c>
      <c r="U102" s="153">
        <v>14.2</v>
      </c>
      <c r="V102" s="154" t="s">
        <v>155</v>
      </c>
      <c r="W102" s="152">
        <f t="shared" ca="1" si="39"/>
        <v>18.079999999999998</v>
      </c>
      <c r="X102" s="155">
        <f t="shared" ca="1" si="40"/>
        <v>556.86</v>
      </c>
      <c r="Y102" s="156" t="s">
        <v>244</v>
      </c>
      <c r="Z102" t="str">
        <f t="shared" ca="1" si="41"/>
        <v>RA</v>
      </c>
      <c r="AA102" s="157">
        <f ca="1">IF($C102="S",IF($Z102="CP",$X102,IF($Z102="RA",(($X102)*QCI!$AA$3),0)),SomaAgrup)</f>
        <v>556.86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str">
        <f t="shared" ca="1" si="44"/>
        <v>Cotação 006</v>
      </c>
      <c r="AF102" s="160">
        <f t="shared" ca="1" si="45"/>
        <v>23</v>
      </c>
      <c r="AG102" s="550">
        <f t="shared" ca="1" si="46"/>
        <v>14.2</v>
      </c>
      <c r="AH102" s="551">
        <f t="shared" ca="1" si="47"/>
        <v>0.27350000000000002</v>
      </c>
      <c r="AJ102" s="553">
        <v>30.8</v>
      </c>
      <c r="AL102" s="574"/>
      <c r="AM102" s="431">
        <f t="shared" ca="1" si="48"/>
        <v>556.86</v>
      </c>
      <c r="AN102" s="617">
        <f t="shared" ca="1" si="49"/>
        <v>18.079999999999998</v>
      </c>
    </row>
    <row r="103" spans="1:40" ht="38.25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2</v>
      </c>
      <c r="F103">
        <f t="shared" ca="1" si="29"/>
        <v>2</v>
      </c>
      <c r="G103">
        <f t="shared" ca="1" si="30"/>
        <v>0</v>
      </c>
      <c r="H103">
        <f t="shared" ca="1" si="31"/>
        <v>0</v>
      </c>
      <c r="I103">
        <f t="shared" ca="1" si="32"/>
        <v>2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>F</v>
      </c>
      <c r="M103" s="145" t="s">
        <v>198</v>
      </c>
      <c r="N103" s="146" t="str">
        <f t="shared" ca="1" si="35"/>
        <v>Serviço</v>
      </c>
      <c r="O103" s="147" t="str">
        <f t="shared" ca="1" si="36"/>
        <v>2.2.2.</v>
      </c>
      <c r="P103" s="148" t="s">
        <v>246</v>
      </c>
      <c r="Q103" s="149" t="s">
        <v>462</v>
      </c>
      <c r="R103" s="150" t="str">
        <f t="shared" ca="1" si="37"/>
        <v>CALHA EM CHAPA DE AÇO GALVANIZADO NÚMERO 24, DESENVOLVIMENTO DE 33 CM, INCLUSO TRANSPORTE VERTICAL. AF_07/2019</v>
      </c>
      <c r="S103" s="151" t="str">
        <f t="shared" ca="1" si="38"/>
        <v>M</v>
      </c>
      <c r="T103" s="152">
        <f ca="1">OFFSET(CÁLCULO!H$15,ROW($T103)-ROW(T$15),0)</f>
        <v>19.079999999999998</v>
      </c>
      <c r="U103" s="153">
        <v>42.14</v>
      </c>
      <c r="V103" s="154" t="s">
        <v>155</v>
      </c>
      <c r="W103" s="152">
        <f t="shared" ca="1" si="39"/>
        <v>53.67</v>
      </c>
      <c r="X103" s="155">
        <f t="shared" ca="1" si="40"/>
        <v>1024.02</v>
      </c>
      <c r="Y103" s="156" t="s">
        <v>244</v>
      </c>
      <c r="Z103" t="str">
        <f t="shared" ca="1" si="41"/>
        <v>RA</v>
      </c>
      <c r="AA103" s="157">
        <f ca="1">IF($C103="S",IF($Z103="CP",$X103,IF($Z103="RA",(($X103)*QCI!$AA$3),0)),SomaAgrup)</f>
        <v>1024.02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str">
        <f t="shared" ca="1" si="44"/>
        <v>SINAPI 94227</v>
      </c>
      <c r="AF103" s="160">
        <f t="shared" ca="1" si="45"/>
        <v>1276</v>
      </c>
      <c r="AG103" s="550">
        <f t="shared" ca="1" si="46"/>
        <v>42.14</v>
      </c>
      <c r="AH103" s="551">
        <f t="shared" ca="1" si="47"/>
        <v>0.27350000000000002</v>
      </c>
      <c r="AJ103" s="553">
        <v>19.079999999999998</v>
      </c>
      <c r="AL103" s="574"/>
      <c r="AM103" s="431">
        <f t="shared" ca="1" si="48"/>
        <v>1024.02</v>
      </c>
      <c r="AN103" s="617">
        <f t="shared" ca="1" si="49"/>
        <v>53.67</v>
      </c>
    </row>
    <row r="104" spans="1:40" ht="25.5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2</v>
      </c>
      <c r="F104">
        <f t="shared" ca="1" si="29"/>
        <v>2</v>
      </c>
      <c r="G104">
        <f t="shared" ca="1" si="30"/>
        <v>0</v>
      </c>
      <c r="H104">
        <f t="shared" ca="1" si="31"/>
        <v>0</v>
      </c>
      <c r="I104">
        <f t="shared" ca="1" si="32"/>
        <v>3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>F</v>
      </c>
      <c r="M104" s="145" t="s">
        <v>198</v>
      </c>
      <c r="N104" s="146" t="str">
        <f t="shared" ca="1" si="35"/>
        <v>Serviço</v>
      </c>
      <c r="O104" s="147" t="str">
        <f t="shared" ca="1" si="36"/>
        <v>2.2.3.</v>
      </c>
      <c r="P104" s="148" t="s">
        <v>452</v>
      </c>
      <c r="Q104" s="149" t="s">
        <v>464</v>
      </c>
      <c r="R104" s="150" t="str">
        <f t="shared" ca="1" si="37"/>
        <v>FORRO DE PVC LISO, BRANCO, REGUA DE 10 CM, ESPESSURA DE 8 MM A 10 MM (COM COLOCACAO / SEM ESTRUTURA METALICA)</v>
      </c>
      <c r="S104" s="151" t="str">
        <f t="shared" ca="1" si="38"/>
        <v xml:space="preserve">M2    </v>
      </c>
      <c r="T104" s="152">
        <f ca="1">OFFSET(CÁLCULO!H$15,ROW($T104)-ROW(T$15),0)</f>
        <v>73.45</v>
      </c>
      <c r="U104" s="153">
        <v>39.869999999999997</v>
      </c>
      <c r="V104" s="154" t="s">
        <v>155</v>
      </c>
      <c r="W104" s="152">
        <f t="shared" ca="1" si="39"/>
        <v>50.77</v>
      </c>
      <c r="X104" s="155">
        <f t="shared" ca="1" si="40"/>
        <v>3729.06</v>
      </c>
      <c r="Y104" s="156" t="s">
        <v>244</v>
      </c>
      <c r="Z104" t="str">
        <f t="shared" ca="1" si="41"/>
        <v>RA</v>
      </c>
      <c r="AA104" s="157">
        <f ca="1">IF($C104="S",IF($Z104="CP",$X104,IF($Z104="RA",(($X104)*QCI!$AA$3),0)),SomaAgrup)</f>
        <v>3729.06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str">
        <f t="shared" ca="1" si="44"/>
        <v>SINAPI-I 11587</v>
      </c>
      <c r="AF104" s="160">
        <f t="shared" ca="1" si="45"/>
        <v>8651</v>
      </c>
      <c r="AG104" s="550">
        <f t="shared" ca="1" si="46"/>
        <v>39.869999999999997</v>
      </c>
      <c r="AH104" s="551">
        <f t="shared" ca="1" si="47"/>
        <v>0.27350000000000002</v>
      </c>
      <c r="AJ104" s="553">
        <v>73.45</v>
      </c>
      <c r="AL104" s="574"/>
      <c r="AM104" s="431">
        <f t="shared" ca="1" si="48"/>
        <v>3729.06</v>
      </c>
      <c r="AN104" s="617">
        <f t="shared" ca="1" si="49"/>
        <v>50.77</v>
      </c>
    </row>
    <row r="105" spans="1:40" ht="38.25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2</v>
      </c>
      <c r="F105">
        <f t="shared" ca="1" si="29"/>
        <v>2</v>
      </c>
      <c r="G105">
        <f t="shared" ca="1" si="30"/>
        <v>0</v>
      </c>
      <c r="H105">
        <f t="shared" ca="1" si="31"/>
        <v>0</v>
      </c>
      <c r="I105">
        <f t="shared" ca="1" si="32"/>
        <v>4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>F</v>
      </c>
      <c r="M105" s="145" t="s">
        <v>198</v>
      </c>
      <c r="N105" s="146" t="str">
        <f t="shared" ca="1" si="35"/>
        <v>Serviço</v>
      </c>
      <c r="O105" s="147" t="str">
        <f t="shared" ca="1" si="36"/>
        <v>2.2.4.</v>
      </c>
      <c r="P105" s="148" t="s">
        <v>246</v>
      </c>
      <c r="Q105" s="149" t="s">
        <v>510</v>
      </c>
      <c r="R105" s="150" t="str">
        <f t="shared" ca="1" si="37"/>
        <v>FABRICAÇÃO E INSTALAÇÃO DE TESOURA INTEIRA EM AÇO, VÃO DE 6 M, PARA TELHA CERÂMICA OU DE CONCRETO, INCLUSO IÇAMENTO. AF_12/2015</v>
      </c>
      <c r="S105" s="151" t="str">
        <f t="shared" ca="1" si="38"/>
        <v>UN</v>
      </c>
      <c r="T105" s="152">
        <f ca="1">OFFSET(CÁLCULO!H$15,ROW($T105)-ROW(T$15),0)</f>
        <v>4</v>
      </c>
      <c r="U105" s="153">
        <v>852.49</v>
      </c>
      <c r="V105" s="154" t="s">
        <v>155</v>
      </c>
      <c r="W105" s="152">
        <f t="shared" ca="1" si="39"/>
        <v>1085.6500000000001</v>
      </c>
      <c r="X105" s="155">
        <f t="shared" ca="1" si="40"/>
        <v>4342.6000000000004</v>
      </c>
      <c r="Y105" s="156" t="s">
        <v>244</v>
      </c>
      <c r="Z105" t="str">
        <f t="shared" ca="1" si="41"/>
        <v>RA</v>
      </c>
      <c r="AA105" s="157">
        <f ca="1">IF($C105="S",IF($Z105="CP",$X105,IF($Z105="RA",(($X105)*QCI!$AA$3),0)),SomaAgrup)</f>
        <v>4342.6000000000004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str">
        <f t="shared" ca="1" si="44"/>
        <v>SINAPI 92588</v>
      </c>
      <c r="AF105" s="160">
        <f t="shared" ca="1" si="45"/>
        <v>1302</v>
      </c>
      <c r="AG105" s="550">
        <f t="shared" ca="1" si="46"/>
        <v>852.49</v>
      </c>
      <c r="AH105" s="551">
        <f t="shared" ca="1" si="47"/>
        <v>0.27350000000000002</v>
      </c>
      <c r="AJ105" s="553">
        <v>4</v>
      </c>
      <c r="AL105" s="574"/>
      <c r="AM105" s="431">
        <f t="shared" ca="1" si="48"/>
        <v>4342.6000000000004</v>
      </c>
      <c r="AN105" s="617">
        <f t="shared" ca="1" si="49"/>
        <v>1085.6500000000001</v>
      </c>
    </row>
    <row r="106" spans="1:40" ht="5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2</v>
      </c>
      <c r="F106">
        <f t="shared" ca="1" si="29"/>
        <v>2</v>
      </c>
      <c r="G106">
        <f t="shared" ca="1" si="30"/>
        <v>0</v>
      </c>
      <c r="H106">
        <f t="shared" ca="1" si="31"/>
        <v>0</v>
      </c>
      <c r="I106">
        <f t="shared" ca="1" si="32"/>
        <v>5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>F</v>
      </c>
      <c r="M106" s="145" t="s">
        <v>198</v>
      </c>
      <c r="N106" s="146" t="str">
        <f t="shared" ca="1" si="35"/>
        <v>Serviço</v>
      </c>
      <c r="O106" s="147" t="str">
        <f t="shared" ca="1" si="36"/>
        <v>2.2.5.</v>
      </c>
      <c r="P106" s="148" t="s">
        <v>246</v>
      </c>
      <c r="Q106" s="149" t="s">
        <v>465</v>
      </c>
      <c r="R106" s="150" t="str">
        <f t="shared" ca="1" si="37"/>
        <v>TELHAMENTO COM TELHA ONDULADA DE FIBROCIMENTO E = 6 MM, COM RECOBRIMENTO LATERAL DE 1 1/4 DE ONDA PARA TELHADO COM INCLINAÇÃO MÁXIMA DE 10°, COM ATÉ 2 ÁGUAS, INCLUSO IÇAMENTO. AF_07/2019</v>
      </c>
      <c r="S106" s="151" t="str">
        <f t="shared" ca="1" si="38"/>
        <v>M2</v>
      </c>
      <c r="T106" s="152">
        <f ca="1">OFFSET(CÁLCULO!H$15,ROW($T106)-ROW(T$15),0)</f>
        <v>75.650000000000006</v>
      </c>
      <c r="U106" s="153">
        <v>33.97</v>
      </c>
      <c r="V106" s="154" t="s">
        <v>155</v>
      </c>
      <c r="W106" s="152">
        <f t="shared" ca="1" si="39"/>
        <v>43.26</v>
      </c>
      <c r="X106" s="155">
        <f t="shared" ca="1" si="40"/>
        <v>3272.62</v>
      </c>
      <c r="Y106" s="156" t="s">
        <v>244</v>
      </c>
      <c r="Z106" t="str">
        <f t="shared" ca="1" si="41"/>
        <v>RA</v>
      </c>
      <c r="AA106" s="157">
        <f ca="1">IF($C106="S",IF($Z106="CP",$X106,IF($Z106="RA",(($X106)*QCI!$AA$3),0)),SomaAgrup)</f>
        <v>3272.62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str">
        <f t="shared" ca="1" si="44"/>
        <v>SINAPI 94210</v>
      </c>
      <c r="AF106" s="160">
        <f t="shared" ca="1" si="45"/>
        <v>1258</v>
      </c>
      <c r="AG106" s="550">
        <f t="shared" ca="1" si="46"/>
        <v>33.97</v>
      </c>
      <c r="AH106" s="551">
        <f t="shared" ca="1" si="47"/>
        <v>0.27350000000000002</v>
      </c>
      <c r="AJ106" s="553">
        <v>75.650000000000006</v>
      </c>
      <c r="AL106" s="574"/>
      <c r="AM106" s="431">
        <f t="shared" ca="1" si="48"/>
        <v>3272.62</v>
      </c>
      <c r="AN106" s="617">
        <f t="shared" ca="1" si="49"/>
        <v>43.26</v>
      </c>
    </row>
    <row r="107" spans="1:40" ht="38.25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2</v>
      </c>
      <c r="F107">
        <f t="shared" ca="1" si="29"/>
        <v>2</v>
      </c>
      <c r="G107">
        <f t="shared" ca="1" si="30"/>
        <v>0</v>
      </c>
      <c r="H107">
        <f t="shared" ca="1" si="31"/>
        <v>0</v>
      </c>
      <c r="I107">
        <f t="shared" ca="1" si="32"/>
        <v>6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>F</v>
      </c>
      <c r="M107" s="145" t="s">
        <v>198</v>
      </c>
      <c r="N107" s="146" t="str">
        <f t="shared" ca="1" si="35"/>
        <v>Serviço</v>
      </c>
      <c r="O107" s="147" t="str">
        <f t="shared" ca="1" si="36"/>
        <v>2.2.6.</v>
      </c>
      <c r="P107" s="148" t="s">
        <v>452</v>
      </c>
      <c r="Q107" s="149" t="s">
        <v>516</v>
      </c>
      <c r="R107" s="150" t="str">
        <f t="shared" ca="1" si="37"/>
        <v>CUMEEIRA ARTICULADA (ABA INTERNA INFERIOR OU EXTERNA SUPERIOR) PARA TELHA ESTRUTURAL DE FIBROCIMENTO, 1 ABA, E = 6 MM (SEM AMIANTO)</v>
      </c>
      <c r="S107" s="151" t="str">
        <f t="shared" ca="1" si="38"/>
        <v xml:space="preserve">UN    </v>
      </c>
      <c r="T107" s="152">
        <f ca="1">OFFSET(CÁLCULO!H$15,ROW($T107)-ROW(T$15),0)</f>
        <v>9.64</v>
      </c>
      <c r="U107" s="153">
        <v>11.23</v>
      </c>
      <c r="V107" s="154" t="s">
        <v>155</v>
      </c>
      <c r="W107" s="152">
        <f t="shared" ca="1" si="39"/>
        <v>14.3</v>
      </c>
      <c r="X107" s="155">
        <f t="shared" ca="1" si="40"/>
        <v>137.85</v>
      </c>
      <c r="Y107" s="156" t="s">
        <v>244</v>
      </c>
      <c r="Z107" t="str">
        <f t="shared" ca="1" si="41"/>
        <v>RA</v>
      </c>
      <c r="AA107" s="157">
        <f ca="1">IF($C107="S",IF($Z107="CP",$X107,IF($Z107="RA",(($X107)*QCI!$AA$3),0)),SomaAgrup)</f>
        <v>137.85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str">
        <f t="shared" ca="1" si="44"/>
        <v>SINAPI-I 11013</v>
      </c>
      <c r="AF107" s="160">
        <f t="shared" ca="1" si="45"/>
        <v>7955</v>
      </c>
      <c r="AG107" s="550">
        <f t="shared" ca="1" si="46"/>
        <v>11.23</v>
      </c>
      <c r="AH107" s="551">
        <f t="shared" ca="1" si="47"/>
        <v>0.27350000000000002</v>
      </c>
      <c r="AJ107" s="553">
        <v>9.64</v>
      </c>
      <c r="AL107" s="574"/>
      <c r="AM107" s="431">
        <f t="shared" ca="1" si="48"/>
        <v>137.85</v>
      </c>
      <c r="AN107" s="617">
        <f t="shared" ca="1" si="49"/>
        <v>14.3</v>
      </c>
    </row>
    <row r="108" spans="1:40" x14ac:dyDescent="0.2">
      <c r="A108">
        <f t="shared" si="25"/>
        <v>2</v>
      </c>
      <c r="B108">
        <f t="shared" ca="1" si="26"/>
        <v>2</v>
      </c>
      <c r="C108">
        <f t="shared" ca="1" si="27"/>
        <v>2</v>
      </c>
      <c r="D108">
        <f t="shared" ca="1" si="28"/>
        <v>12</v>
      </c>
      <c r="E108">
        <f ca="1">IF($C108=1,OFFSET(E108,-1,0)+MAX(1,COUNTIF(QCI!$A$13:$A$24,OFFSET(ORÇAMENTO!E108,-1,0))),OFFSET(E108,-1,0))</f>
        <v>2</v>
      </c>
      <c r="F108">
        <f t="shared" ca="1" si="29"/>
        <v>3</v>
      </c>
      <c r="G108">
        <f t="shared" ca="1" si="30"/>
        <v>0</v>
      </c>
      <c r="H108">
        <f t="shared" ca="1" si="31"/>
        <v>0</v>
      </c>
      <c r="I108">
        <f t="shared" ca="1" si="32"/>
        <v>0</v>
      </c>
      <c r="J108">
        <f t="shared" ca="1" si="33"/>
        <v>40</v>
      </c>
      <c r="K108">
        <f ca="1">IF(OR($C108="S",$C108=0),0,MATCH(OFFSET($D108,0,$C108)+IF($C108&lt;&gt;1,1,COUNTIF(QCI!$A$13:$A$24,ORÇAMENTO!E108)),OFFSET($D108,1,$C108,ROW($C$266)-ROW($C108)),0))</f>
        <v>12</v>
      </c>
      <c r="L108" s="144" t="str">
        <f t="shared" ca="1" si="34"/>
        <v>F</v>
      </c>
      <c r="M108" s="145" t="s">
        <v>195</v>
      </c>
      <c r="N108" s="146" t="str">
        <f t="shared" ca="1" si="35"/>
        <v>Nível 2</v>
      </c>
      <c r="O108" s="147" t="str">
        <f t="shared" ca="1" si="36"/>
        <v>2.3.</v>
      </c>
      <c r="P108" s="148" t="s">
        <v>246</v>
      </c>
      <c r="Q108" s="149"/>
      <c r="R108" s="150" t="str">
        <f ca="1">IF($C108="S",REFERENCIA.Descricao,"(REVESTIMENTOS)")</f>
        <v>(REVESTIMENTOS)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16156.13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16156.13</v>
      </c>
      <c r="AB108" s="158">
        <f t="shared" ca="1" si="42"/>
        <v>0</v>
      </c>
      <c r="AC108" s="159" t="str">
        <f t="shared" ca="1" si="43"/>
        <v/>
      </c>
      <c r="AD108" s="105">
        <f ca="1">IF(C108&lt;=CRONO.NivelExibicao,MAX($AD$15:OFFSET(AD108,-1,0))+IF($C108&lt;&gt;1,1,MAX(1,COUNTIF(QCI!$A$13:$A$24,OFFSET($E108,-1,0)))),"")</f>
        <v>11</v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0.27350000000000002</v>
      </c>
      <c r="AJ108" s="553"/>
      <c r="AL108" s="574"/>
      <c r="AM108" s="431">
        <f t="shared" ca="1" si="48"/>
        <v>16156.13</v>
      </c>
      <c r="AN108" s="617">
        <f t="shared" ca="1" si="49"/>
        <v>0</v>
      </c>
    </row>
    <row r="109" spans="1:40" ht="38.25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2</v>
      </c>
      <c r="F109">
        <f t="shared" ca="1" si="29"/>
        <v>3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>F</v>
      </c>
      <c r="M109" s="145" t="s">
        <v>198</v>
      </c>
      <c r="N109" s="146" t="str">
        <f t="shared" ca="1" si="35"/>
        <v>Serviço</v>
      </c>
      <c r="O109" s="147" t="str">
        <f t="shared" ca="1" si="36"/>
        <v>2.3.1.</v>
      </c>
      <c r="P109" s="148" t="s">
        <v>246</v>
      </c>
      <c r="Q109" s="149" t="s">
        <v>466</v>
      </c>
      <c r="R109" s="150" t="str">
        <f t="shared" ca="1" si="37"/>
        <v>CONTRAPISO EM ARGAMASSA TRAÇO 1:4 (CIMENTO E AREIA), PREPARO MECÂNICO COM BETONEIRA 400 L, APLICADO EM ÁREAS SECAS SOBRE LAJE, NÃO ADERIDO, ESPESSURA 6CM. AF_06/2014</v>
      </c>
      <c r="S109" s="151" t="str">
        <f t="shared" ca="1" si="38"/>
        <v>M2</v>
      </c>
      <c r="T109" s="152">
        <f ca="1">OFFSET(CÁLCULO!H$15,ROW($T109)-ROW(T$15),0)</f>
        <v>48</v>
      </c>
      <c r="U109" s="153">
        <v>35.94</v>
      </c>
      <c r="V109" s="154" t="s">
        <v>155</v>
      </c>
      <c r="W109" s="152">
        <f t="shared" ca="1" si="39"/>
        <v>45.77</v>
      </c>
      <c r="X109" s="155">
        <f t="shared" ca="1" si="40"/>
        <v>2196.96</v>
      </c>
      <c r="Y109" s="156" t="s">
        <v>244</v>
      </c>
      <c r="Z109" t="str">
        <f t="shared" ca="1" si="41"/>
        <v>RA</v>
      </c>
      <c r="AA109" s="157">
        <f ca="1">IF($C109="S",IF($Z109="CP",$X109,IF($Z109="RA",(($X109)*QCI!$AA$3),0)),SomaAgrup)</f>
        <v>2196.96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str">
        <f t="shared" ca="1" si="44"/>
        <v>SINAPI 87700</v>
      </c>
      <c r="AF109" s="160">
        <f t="shared" ca="1" si="45"/>
        <v>5379</v>
      </c>
      <c r="AG109" s="550">
        <f t="shared" ca="1" si="46"/>
        <v>35.94</v>
      </c>
      <c r="AH109" s="551">
        <f t="shared" ca="1" si="47"/>
        <v>0.27350000000000002</v>
      </c>
      <c r="AJ109" s="553">
        <v>48</v>
      </c>
      <c r="AL109" s="574"/>
      <c r="AM109" s="431">
        <f t="shared" ca="1" si="48"/>
        <v>2196.96</v>
      </c>
      <c r="AN109" s="617">
        <f t="shared" ca="1" si="49"/>
        <v>45.77</v>
      </c>
    </row>
    <row r="110" spans="1:40" ht="38.25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2</v>
      </c>
      <c r="F110">
        <f t="shared" ca="1" si="29"/>
        <v>3</v>
      </c>
      <c r="G110">
        <f t="shared" ca="1" si="30"/>
        <v>0</v>
      </c>
      <c r="H110">
        <f t="shared" ca="1" si="31"/>
        <v>0</v>
      </c>
      <c r="I110">
        <f t="shared" ca="1" si="32"/>
        <v>2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>F</v>
      </c>
      <c r="M110" s="145" t="s">
        <v>198</v>
      </c>
      <c r="N110" s="146" t="str">
        <f t="shared" ca="1" si="35"/>
        <v>Serviço</v>
      </c>
      <c r="O110" s="147" t="str">
        <f t="shared" ca="1" si="36"/>
        <v>2.3.2.</v>
      </c>
      <c r="P110" s="148" t="s">
        <v>246</v>
      </c>
      <c r="Q110" s="149" t="s">
        <v>467</v>
      </c>
      <c r="R110" s="150" t="str">
        <f t="shared" ca="1" si="37"/>
        <v>CHAPISCO APLICADO SOMENTE EM ESTRUTURAS DE CONCRETO EM ALVENARIAS INTERNAS, COM DESEMPENADEIRA DENTADA. ARGAMASSA INDUSTRIALIZADA COM PREPARO MANUAL. AF_06/2014</v>
      </c>
      <c r="S110" s="151" t="str">
        <f t="shared" ca="1" si="38"/>
        <v>M2</v>
      </c>
      <c r="T110" s="152">
        <f ca="1">OFFSET(CÁLCULO!H$15,ROW($T110)-ROW(T$15),0)</f>
        <v>68.56</v>
      </c>
      <c r="U110" s="153">
        <v>14.4</v>
      </c>
      <c r="V110" s="154" t="s">
        <v>155</v>
      </c>
      <c r="W110" s="152">
        <f t="shared" ca="1" si="39"/>
        <v>18.34</v>
      </c>
      <c r="X110" s="155">
        <f t="shared" ca="1" si="40"/>
        <v>1257.3900000000001</v>
      </c>
      <c r="Y110" s="156" t="s">
        <v>244</v>
      </c>
      <c r="Z110" t="str">
        <f t="shared" ca="1" si="41"/>
        <v>RA</v>
      </c>
      <c r="AA110" s="157">
        <f ca="1">IF($C110="S",IF($Z110="CP",$X110,IF($Z110="RA",(($X110)*QCI!$AA$3),0)),SomaAgrup)</f>
        <v>1257.3900000000001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str">
        <f t="shared" ca="1" si="44"/>
        <v>SINAPI 87871</v>
      </c>
      <c r="AF110" s="160">
        <f t="shared" ca="1" si="45"/>
        <v>5434</v>
      </c>
      <c r="AG110" s="550">
        <f t="shared" ca="1" si="46"/>
        <v>14.4</v>
      </c>
      <c r="AH110" s="551">
        <f t="shared" ca="1" si="47"/>
        <v>0.27350000000000002</v>
      </c>
      <c r="AJ110" s="553">
        <v>68.56</v>
      </c>
      <c r="AL110" s="574"/>
      <c r="AM110" s="431">
        <f t="shared" ca="1" si="48"/>
        <v>1257.3900000000001</v>
      </c>
      <c r="AN110" s="617">
        <f t="shared" ca="1" si="49"/>
        <v>18.34</v>
      </c>
    </row>
    <row r="111" spans="1:40" ht="5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2</v>
      </c>
      <c r="F111">
        <f t="shared" ca="1" si="29"/>
        <v>3</v>
      </c>
      <c r="G111">
        <f t="shared" ca="1" si="30"/>
        <v>0</v>
      </c>
      <c r="H111">
        <f t="shared" ca="1" si="31"/>
        <v>0</v>
      </c>
      <c r="I111">
        <f t="shared" ca="1" si="32"/>
        <v>3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>F</v>
      </c>
      <c r="M111" s="145" t="s">
        <v>198</v>
      </c>
      <c r="N111" s="146" t="str">
        <f t="shared" ca="1" si="35"/>
        <v>Serviço</v>
      </c>
      <c r="O111" s="147" t="str">
        <f t="shared" ca="1" si="36"/>
        <v>2.3.3.</v>
      </c>
      <c r="P111" s="148" t="s">
        <v>246</v>
      </c>
      <c r="Q111" s="149" t="s">
        <v>468</v>
      </c>
      <c r="R111" s="150" t="str">
        <f t="shared" ca="1" si="37"/>
        <v>CHAPISCO APLICADO EM ALVENARIA (SEM PRESENÇA DE VÃOS) E ESTRUTURAS DE CONCRETO DE FACHADA, COM ROLO PARA TEXTURA ACRÍLICA.  ARGAMASSA TRAÇO 1:4 E EMULSÃO POLIMÉRICA (ADESIVO) COM PREPARO MANUAL. AF_06/2014</v>
      </c>
      <c r="S111" s="151" t="str">
        <f t="shared" ca="1" si="38"/>
        <v>M2</v>
      </c>
      <c r="T111" s="152">
        <f ca="1">OFFSET(CÁLCULO!H$15,ROW($T111)-ROW(T$15),0)</f>
        <v>76.56</v>
      </c>
      <c r="U111" s="153">
        <v>4.79</v>
      </c>
      <c r="V111" s="154" t="s">
        <v>155</v>
      </c>
      <c r="W111" s="152">
        <f t="shared" ca="1" si="39"/>
        <v>6.1</v>
      </c>
      <c r="X111" s="155">
        <f t="shared" ca="1" si="40"/>
        <v>467.02</v>
      </c>
      <c r="Y111" s="156" t="s">
        <v>244</v>
      </c>
      <c r="Z111" t="str">
        <f t="shared" ca="1" si="41"/>
        <v>RA</v>
      </c>
      <c r="AA111" s="157">
        <f ca="1">IF($C111="S",IF($Z111="CP",$X111,IF($Z111="RA",(($X111)*QCI!$AA$3),0)),SomaAgrup)</f>
        <v>467.02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str">
        <f t="shared" ca="1" si="44"/>
        <v>SINAPI 87888</v>
      </c>
      <c r="AF111" s="160">
        <f t="shared" ca="1" si="45"/>
        <v>5448</v>
      </c>
      <c r="AG111" s="550">
        <f t="shared" ca="1" si="46"/>
        <v>4.79</v>
      </c>
      <c r="AH111" s="551">
        <f t="shared" ca="1" si="47"/>
        <v>0.27350000000000002</v>
      </c>
      <c r="AJ111" s="553">
        <v>76.56</v>
      </c>
      <c r="AL111" s="574"/>
      <c r="AM111" s="431">
        <f t="shared" ca="1" si="48"/>
        <v>467.02</v>
      </c>
      <c r="AN111" s="617">
        <f t="shared" ca="1" si="49"/>
        <v>6.1</v>
      </c>
    </row>
    <row r="112" spans="1:40" ht="63.75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2</v>
      </c>
      <c r="F112">
        <f t="shared" ca="1" si="29"/>
        <v>3</v>
      </c>
      <c r="G112">
        <f t="shared" ca="1" si="30"/>
        <v>0</v>
      </c>
      <c r="H112">
        <f t="shared" ca="1" si="31"/>
        <v>0</v>
      </c>
      <c r="I112">
        <f t="shared" ca="1" si="32"/>
        <v>4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>F</v>
      </c>
      <c r="M112" s="145" t="s">
        <v>198</v>
      </c>
      <c r="N112" s="146" t="str">
        <f t="shared" ca="1" si="35"/>
        <v>Serviço</v>
      </c>
      <c r="O112" s="147" t="str">
        <f t="shared" ca="1" si="36"/>
        <v>2.3.4.</v>
      </c>
      <c r="P112" s="148" t="s">
        <v>246</v>
      </c>
      <c r="Q112" s="149" t="s">
        <v>469</v>
      </c>
      <c r="R112" s="150" t="str">
        <f t="shared" ca="1" si="37"/>
        <v>EMBOÇO, PARA RECEBIMENTO DE CERÂMICA, EM ARGAMASSA TRAÇO 1:2:8, PREPARO MANUAL, APLICADO MANUALMENTE EM FACES INTERNAS DE PAREDES, PARA AMBIENTE COM ÁREA  ENTRE 5M2 E 10M2, ESPESSURA DE 20MM, COM EXECUÇÃO DE TALISCAS. AF_06/2014</v>
      </c>
      <c r="S112" s="151" t="str">
        <f t="shared" ca="1" si="38"/>
        <v>M2</v>
      </c>
      <c r="T112" s="152">
        <f ca="1">OFFSET(CÁLCULO!H$15,ROW($T112)-ROW(T$15),0)</f>
        <v>68.56</v>
      </c>
      <c r="U112" s="153">
        <v>27.29</v>
      </c>
      <c r="V112" s="154" t="s">
        <v>155</v>
      </c>
      <c r="W112" s="152">
        <f t="shared" ca="1" si="39"/>
        <v>34.75</v>
      </c>
      <c r="X112" s="155">
        <f t="shared" ca="1" si="40"/>
        <v>2382.46</v>
      </c>
      <c r="Y112" s="156" t="s">
        <v>244</v>
      </c>
      <c r="Z112" t="str">
        <f t="shared" ca="1" si="41"/>
        <v>RA</v>
      </c>
      <c r="AA112" s="157">
        <f ca="1">IF($C112="S",IF($Z112="CP",$X112,IF($Z112="RA",(($X112)*QCI!$AA$3),0)),SomaAgrup)</f>
        <v>2382.46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str">
        <f t="shared" ca="1" si="44"/>
        <v>SINAPI 87532</v>
      </c>
      <c r="AF112" s="160">
        <f t="shared" ca="1" si="45"/>
        <v>5501</v>
      </c>
      <c r="AG112" s="550">
        <f t="shared" ca="1" si="46"/>
        <v>27.29</v>
      </c>
      <c r="AH112" s="551">
        <f t="shared" ca="1" si="47"/>
        <v>0.27350000000000002</v>
      </c>
      <c r="AJ112" s="553">
        <v>68.56</v>
      </c>
      <c r="AL112" s="574"/>
      <c r="AM112" s="431">
        <f t="shared" ca="1" si="48"/>
        <v>2382.46</v>
      </c>
      <c r="AN112" s="617">
        <f t="shared" ca="1" si="49"/>
        <v>34.75</v>
      </c>
    </row>
    <row r="113" spans="1:40" ht="38.25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2</v>
      </c>
      <c r="F113">
        <f t="shared" ca="1" si="29"/>
        <v>3</v>
      </c>
      <c r="G113">
        <f t="shared" ca="1" si="30"/>
        <v>0</v>
      </c>
      <c r="H113">
        <f t="shared" ca="1" si="31"/>
        <v>0</v>
      </c>
      <c r="I113">
        <f t="shared" ca="1" si="32"/>
        <v>5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>F</v>
      </c>
      <c r="M113" s="145" t="s">
        <v>198</v>
      </c>
      <c r="N113" s="146" t="str">
        <f t="shared" ca="1" si="35"/>
        <v>Serviço</v>
      </c>
      <c r="O113" s="147" t="str">
        <f t="shared" ca="1" si="36"/>
        <v>2.3.5.</v>
      </c>
      <c r="P113" s="148" t="s">
        <v>246</v>
      </c>
      <c r="Q113" s="149" t="s">
        <v>470</v>
      </c>
      <c r="R113" s="150" t="str">
        <f t="shared" ca="1" si="37"/>
        <v>EMBOÇO OU MASSA ÚNICA EM ARGAMASSA TRAÇO 1:2:8, PREPARO MANUAL, APLICADA MANUALMENTE EM PANOS DE FACHADA COM PRESENÇA DE VÃOS, ESPESSURA DE 25 MM. AF_06/2014</v>
      </c>
      <c r="S113" s="151" t="str">
        <f t="shared" ca="1" si="38"/>
        <v>M2</v>
      </c>
      <c r="T113" s="152">
        <f ca="1">OFFSET(CÁLCULO!H$15,ROW($T113)-ROW(T$15),0)</f>
        <v>76.56</v>
      </c>
      <c r="U113" s="153">
        <v>45.18</v>
      </c>
      <c r="V113" s="154" t="s">
        <v>155</v>
      </c>
      <c r="W113" s="152">
        <f t="shared" ca="1" si="39"/>
        <v>57.54</v>
      </c>
      <c r="X113" s="155">
        <f t="shared" ca="1" si="40"/>
        <v>4405.26</v>
      </c>
      <c r="Y113" s="156" t="s">
        <v>244</v>
      </c>
      <c r="Z113" t="str">
        <f t="shared" ca="1" si="41"/>
        <v>RA</v>
      </c>
      <c r="AA113" s="157">
        <f ca="1">IF($C113="S",IF($Z113="CP",$X113,IF($Z113="RA",(($X113)*QCI!$AA$3),0)),SomaAgrup)</f>
        <v>4405.26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str">
        <f t="shared" ca="1" si="44"/>
        <v>SINAPI 87777</v>
      </c>
      <c r="AF113" s="160">
        <f t="shared" ca="1" si="45"/>
        <v>5523</v>
      </c>
      <c r="AG113" s="550">
        <f t="shared" ca="1" si="46"/>
        <v>45.18</v>
      </c>
      <c r="AH113" s="551">
        <f t="shared" ca="1" si="47"/>
        <v>0.27350000000000002</v>
      </c>
      <c r="AJ113" s="553">
        <v>76.56</v>
      </c>
      <c r="AL113" s="574"/>
      <c r="AM113" s="431">
        <f t="shared" ca="1" si="48"/>
        <v>4405.26</v>
      </c>
      <c r="AN113" s="617">
        <f t="shared" ca="1" si="49"/>
        <v>57.54</v>
      </c>
    </row>
    <row r="114" spans="1:40" ht="5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2</v>
      </c>
      <c r="F114">
        <f t="shared" ca="1" si="29"/>
        <v>3</v>
      </c>
      <c r="G114">
        <f t="shared" ca="1" si="30"/>
        <v>0</v>
      </c>
      <c r="H114">
        <f t="shared" ca="1" si="31"/>
        <v>0</v>
      </c>
      <c r="I114">
        <f t="shared" ca="1" si="32"/>
        <v>6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>F</v>
      </c>
      <c r="M114" s="145" t="s">
        <v>198</v>
      </c>
      <c r="N114" s="146" t="str">
        <f t="shared" ca="1" si="35"/>
        <v>Serviço</v>
      </c>
      <c r="O114" s="147" t="str">
        <f t="shared" ca="1" si="36"/>
        <v>2.3.6.</v>
      </c>
      <c r="P114" s="148" t="s">
        <v>246</v>
      </c>
      <c r="Q114" s="149" t="s">
        <v>472</v>
      </c>
      <c r="R114" s="150" t="str">
        <f t="shared" ca="1" si="37"/>
        <v>(COMPOSIÇÃO REPRESENTATIVA) DO SERVIÇO DE REVESTIMENTO CERÂMICO PARA PISO COM PLACAS TIPO GRÉS DE DIMENSÕES 35X35 CM, PARA EDIFICAÇÃO HABITACIONAL UNIFAMILIAR (CASA) E EDIFICAÇÃO PÚBLICA PADRÃO. AF_11/2014</v>
      </c>
      <c r="S114" s="151" t="str">
        <f t="shared" ca="1" si="38"/>
        <v>M2</v>
      </c>
      <c r="T114" s="152">
        <f ca="1">OFFSET(CÁLCULO!H$15,ROW($T114)-ROW(T$15),0)</f>
        <v>48</v>
      </c>
      <c r="U114" s="153">
        <v>30.11</v>
      </c>
      <c r="V114" s="154" t="s">
        <v>155</v>
      </c>
      <c r="W114" s="152">
        <f t="shared" ca="1" si="39"/>
        <v>38.35</v>
      </c>
      <c r="X114" s="155">
        <f t="shared" ca="1" si="40"/>
        <v>1840.8</v>
      </c>
      <c r="Y114" s="156" t="s">
        <v>244</v>
      </c>
      <c r="Z114" t="str">
        <f t="shared" ca="1" si="41"/>
        <v>RA</v>
      </c>
      <c r="AA114" s="157">
        <f ca="1">IF($C114="S",IF($Z114="CP",$X114,IF($Z114="RA",(($X114)*QCI!$AA$3),0)),SomaAgrup)</f>
        <v>1840.8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str">
        <f t="shared" ca="1" si="44"/>
        <v>SINAPI 89171</v>
      </c>
      <c r="AF114" s="160">
        <f t="shared" ca="1" si="45"/>
        <v>5309</v>
      </c>
      <c r="AG114" s="550">
        <f t="shared" ca="1" si="46"/>
        <v>30.11</v>
      </c>
      <c r="AH114" s="551">
        <f t="shared" ca="1" si="47"/>
        <v>0.27350000000000002</v>
      </c>
      <c r="AJ114" s="553">
        <v>48</v>
      </c>
      <c r="AL114" s="574"/>
      <c r="AM114" s="431">
        <f t="shared" ca="1" si="48"/>
        <v>1840.8</v>
      </c>
      <c r="AN114" s="617">
        <f t="shared" ca="1" si="49"/>
        <v>38.35</v>
      </c>
    </row>
    <row r="115" spans="1:40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2</v>
      </c>
      <c r="F115">
        <f t="shared" ca="1" si="29"/>
        <v>3</v>
      </c>
      <c r="G115">
        <f t="shared" ca="1" si="30"/>
        <v>0</v>
      </c>
      <c r="H115">
        <f t="shared" ca="1" si="31"/>
        <v>0</v>
      </c>
      <c r="I115">
        <f t="shared" ca="1" si="32"/>
        <v>7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>F</v>
      </c>
      <c r="M115" s="145" t="s">
        <v>198</v>
      </c>
      <c r="N115" s="146" t="str">
        <f t="shared" ca="1" si="35"/>
        <v>Serviço</v>
      </c>
      <c r="O115" s="147" t="str">
        <f t="shared" ca="1" si="36"/>
        <v>2.3.7.</v>
      </c>
      <c r="P115" s="148" t="s">
        <v>452</v>
      </c>
      <c r="Q115" s="658" t="s">
        <v>535</v>
      </c>
      <c r="R115" s="150" t="str">
        <f t="shared" ca="1" si="37"/>
        <v>REJUNTE COLORIDO, CIMENTICIO</v>
      </c>
      <c r="S115" s="151" t="str">
        <f t="shared" ca="1" si="38"/>
        <v xml:space="preserve">KG    </v>
      </c>
      <c r="T115" s="152">
        <f ca="1">OFFSET(CÁLCULO!H$15,ROW($T115)-ROW(T$15),0)</f>
        <v>11</v>
      </c>
      <c r="U115" s="153">
        <v>2.99</v>
      </c>
      <c r="V115" s="154" t="s">
        <v>155</v>
      </c>
      <c r="W115" s="152">
        <f t="shared" ca="1" si="39"/>
        <v>3.81</v>
      </c>
      <c r="X115" s="155">
        <f t="shared" ca="1" si="40"/>
        <v>41.91</v>
      </c>
      <c r="Y115" s="156" t="s">
        <v>244</v>
      </c>
      <c r="Z115" t="str">
        <f t="shared" ca="1" si="41"/>
        <v>RA</v>
      </c>
      <c r="AA115" s="157">
        <f ca="1">IF($C115="S",IF($Z115="CP",$X115,IF($Z115="RA",(($X115)*QCI!$AA$3),0)),SomaAgrup)</f>
        <v>41.91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str">
        <f t="shared" ca="1" si="44"/>
        <v>SINAPI-I 34357</v>
      </c>
      <c r="AF115" s="160">
        <f t="shared" ca="1" si="45"/>
        <v>10375</v>
      </c>
      <c r="AG115" s="550">
        <f t="shared" ca="1" si="46"/>
        <v>2.99</v>
      </c>
      <c r="AH115" s="551">
        <f t="shared" ca="1" si="47"/>
        <v>0.27350000000000002</v>
      </c>
      <c r="AJ115" s="553">
        <v>11</v>
      </c>
      <c r="AL115" s="574"/>
      <c r="AM115" s="431">
        <f t="shared" ca="1" si="48"/>
        <v>41.91</v>
      </c>
      <c r="AN115" s="617">
        <f t="shared" ca="1" si="49"/>
        <v>3.81</v>
      </c>
    </row>
    <row r="116" spans="1:40" ht="38.25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2</v>
      </c>
      <c r="F116">
        <f t="shared" ca="1" si="29"/>
        <v>3</v>
      </c>
      <c r="G116">
        <f t="shared" ca="1" si="30"/>
        <v>0</v>
      </c>
      <c r="H116">
        <f t="shared" ca="1" si="31"/>
        <v>0</v>
      </c>
      <c r="I116">
        <f t="shared" ca="1" si="32"/>
        <v>8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>F</v>
      </c>
      <c r="M116" s="145" t="s">
        <v>198</v>
      </c>
      <c r="N116" s="146" t="str">
        <f t="shared" ca="1" si="35"/>
        <v>Serviço</v>
      </c>
      <c r="O116" s="147" t="str">
        <f t="shared" ca="1" si="36"/>
        <v>2.3.8.</v>
      </c>
      <c r="P116" s="148" t="s">
        <v>246</v>
      </c>
      <c r="Q116" s="149" t="s">
        <v>473</v>
      </c>
      <c r="R116" s="150" t="str">
        <f t="shared" ca="1" si="37"/>
        <v>APLICAÇÃO MANUAL DE PINTURA COM TINTA TEXTURIZADA ACRÍLICA EM PANOS CEGOS DE FACHADA (SEM PRESENÇA DE VÃOS) DE EDIFÍCIOS DE MÚLTIPLOS PAVIMENTOS, UMA COR. AF_06/2014</v>
      </c>
      <c r="S116" s="151" t="str">
        <f t="shared" ca="1" si="38"/>
        <v>M2</v>
      </c>
      <c r="T116" s="152">
        <f ca="1">OFFSET(CÁLCULO!H$15,ROW($T116)-ROW(T$15),0)</f>
        <v>76.56</v>
      </c>
      <c r="U116" s="153">
        <v>12.84</v>
      </c>
      <c r="V116" s="154" t="s">
        <v>155</v>
      </c>
      <c r="W116" s="152">
        <f t="shared" ca="1" si="39"/>
        <v>16.350000000000001</v>
      </c>
      <c r="X116" s="155">
        <f t="shared" ca="1" si="40"/>
        <v>1251.76</v>
      </c>
      <c r="Y116" s="156" t="s">
        <v>244</v>
      </c>
      <c r="Z116" t="str">
        <f t="shared" ca="1" si="41"/>
        <v>RA</v>
      </c>
      <c r="AA116" s="157">
        <f ca="1">IF($C116="S",IF($Z116="CP",$X116,IF($Z116="RA",(($X116)*QCI!$AA$3),0)),SomaAgrup)</f>
        <v>1251.76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str">
        <f t="shared" ca="1" si="44"/>
        <v>SINAPI 88417</v>
      </c>
      <c r="AF116" s="160">
        <f t="shared" ca="1" si="45"/>
        <v>5183</v>
      </c>
      <c r="AG116" s="550">
        <f t="shared" ca="1" si="46"/>
        <v>12.84</v>
      </c>
      <c r="AH116" s="551">
        <f t="shared" ca="1" si="47"/>
        <v>0.27350000000000002</v>
      </c>
      <c r="AJ116" s="553">
        <v>76.56</v>
      </c>
      <c r="AL116" s="574"/>
      <c r="AM116" s="431">
        <f t="shared" ca="1" si="48"/>
        <v>1251.76</v>
      </c>
      <c r="AN116" s="617">
        <f t="shared" ca="1" si="49"/>
        <v>16.350000000000001</v>
      </c>
    </row>
    <row r="117" spans="1:40" ht="38.25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2</v>
      </c>
      <c r="F117">
        <f t="shared" ca="1" si="29"/>
        <v>3</v>
      </c>
      <c r="G117">
        <f t="shared" ca="1" si="30"/>
        <v>0</v>
      </c>
      <c r="H117">
        <f t="shared" ca="1" si="31"/>
        <v>0</v>
      </c>
      <c r="I117">
        <f t="shared" ca="1" si="32"/>
        <v>9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>F</v>
      </c>
      <c r="M117" s="145" t="s">
        <v>198</v>
      </c>
      <c r="N117" s="146" t="str">
        <f t="shared" ca="1" si="35"/>
        <v>Serviço</v>
      </c>
      <c r="O117" s="147" t="str">
        <f t="shared" ca="1" si="36"/>
        <v>2.3.9.</v>
      </c>
      <c r="P117" s="148" t="s">
        <v>246</v>
      </c>
      <c r="Q117" s="149" t="s">
        <v>511</v>
      </c>
      <c r="R117" s="150" t="str">
        <f t="shared" ca="1" si="37"/>
        <v>APLICAÇÃO MANUAL DE PINTURA COM TINTA TEXTURIZADA ACRÍLICA EM SUPERFÍCIES INTERNAS DA SACADA DE EDIFÍCIOS DE MÚLTIPLOS PAVIMENTOS, UMA COR. AF_06/2014</v>
      </c>
      <c r="S117" s="151" t="str">
        <f t="shared" ca="1" si="38"/>
        <v>M2</v>
      </c>
      <c r="T117" s="152">
        <f ca="1">OFFSET(CÁLCULO!H$15,ROW($T117)-ROW(T$15),0)</f>
        <v>68.56</v>
      </c>
      <c r="U117" s="153">
        <v>20.85</v>
      </c>
      <c r="V117" s="154" t="s">
        <v>155</v>
      </c>
      <c r="W117" s="152">
        <f t="shared" ca="1" si="39"/>
        <v>26.55</v>
      </c>
      <c r="X117" s="155">
        <f t="shared" ca="1" si="40"/>
        <v>1820.27</v>
      </c>
      <c r="Y117" s="156" t="s">
        <v>244</v>
      </c>
      <c r="Z117" t="str">
        <f t="shared" ca="1" si="41"/>
        <v>RA</v>
      </c>
      <c r="AA117" s="157">
        <f ca="1">IF($C117="S",IF($Z117="CP",$X117,IF($Z117="RA",(($X117)*QCI!$AA$3),0)),SomaAgrup)</f>
        <v>1820.27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str">
        <f t="shared" ca="1" si="44"/>
        <v>SINAPI 88421</v>
      </c>
      <c r="AF117" s="160">
        <f t="shared" ca="1" si="45"/>
        <v>5185</v>
      </c>
      <c r="AG117" s="550">
        <f t="shared" ca="1" si="46"/>
        <v>20.85</v>
      </c>
      <c r="AH117" s="551">
        <f t="shared" ca="1" si="47"/>
        <v>0.27350000000000002</v>
      </c>
      <c r="AJ117" s="553">
        <v>68.56</v>
      </c>
      <c r="AL117" s="574"/>
      <c r="AM117" s="431">
        <f t="shared" ca="1" si="48"/>
        <v>1820.27</v>
      </c>
      <c r="AN117" s="617">
        <f t="shared" ca="1" si="49"/>
        <v>26.55</v>
      </c>
    </row>
    <row r="118" spans="1:40" ht="25.5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2</v>
      </c>
      <c r="F118">
        <f t="shared" ca="1" si="29"/>
        <v>3</v>
      </c>
      <c r="G118">
        <f t="shared" ca="1" si="30"/>
        <v>0</v>
      </c>
      <c r="H118">
        <f t="shared" ca="1" si="31"/>
        <v>0</v>
      </c>
      <c r="I118">
        <f t="shared" ca="1" si="32"/>
        <v>10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>F</v>
      </c>
      <c r="M118" s="145" t="s">
        <v>198</v>
      </c>
      <c r="N118" s="146" t="str">
        <f t="shared" ca="1" si="35"/>
        <v>Serviço</v>
      </c>
      <c r="O118" s="147" t="str">
        <f t="shared" ca="1" si="36"/>
        <v>2.3.10.</v>
      </c>
      <c r="P118" s="148" t="s">
        <v>452</v>
      </c>
      <c r="Q118" s="149" t="s">
        <v>474</v>
      </c>
      <c r="R118" s="150" t="str">
        <f t="shared" ca="1" si="37"/>
        <v>SOLEIRA/ PEITORIL EM MARMORE, POLIDO, BRANCO COMUM, L= *15* CM, E=  *2* CM,  CORTE RETO</v>
      </c>
      <c r="S118" s="151" t="str">
        <f t="shared" ca="1" si="38"/>
        <v xml:space="preserve">M     </v>
      </c>
      <c r="T118" s="152">
        <f ca="1">OFFSET(CÁLCULO!H$15,ROW($T118)-ROW(T$15),0)</f>
        <v>6</v>
      </c>
      <c r="U118" s="153">
        <v>43.1</v>
      </c>
      <c r="V118" s="154" t="s">
        <v>155</v>
      </c>
      <c r="W118" s="152">
        <f t="shared" ca="1" si="39"/>
        <v>54.89</v>
      </c>
      <c r="X118" s="155">
        <f t="shared" ca="1" si="40"/>
        <v>329.34</v>
      </c>
      <c r="Y118" s="156" t="s">
        <v>244</v>
      </c>
      <c r="Z118" t="str">
        <f t="shared" ca="1" si="41"/>
        <v>RA</v>
      </c>
      <c r="AA118" s="157">
        <f ca="1">IF($C118="S",IF($Z118="CP",$X118,IF($Z118="RA",(($X118)*QCI!$AA$3),0)),SomaAgrup)</f>
        <v>329.34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str">
        <f t="shared" ca="1" si="44"/>
        <v>SINAPI-I 4828</v>
      </c>
      <c r="AF118" s="160">
        <f t="shared" ca="1" si="45"/>
        <v>10514</v>
      </c>
      <c r="AG118" s="550">
        <f t="shared" ca="1" si="46"/>
        <v>43.1</v>
      </c>
      <c r="AH118" s="551">
        <f t="shared" ca="1" si="47"/>
        <v>0.27350000000000002</v>
      </c>
      <c r="AJ118" s="553">
        <v>6</v>
      </c>
      <c r="AL118" s="574"/>
      <c r="AM118" s="431">
        <f t="shared" ca="1" si="48"/>
        <v>329.34</v>
      </c>
      <c r="AN118" s="617">
        <f t="shared" ca="1" si="49"/>
        <v>54.89</v>
      </c>
    </row>
    <row r="119" spans="1:40" ht="25.5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2</v>
      </c>
      <c r="F119">
        <f t="shared" ca="1" si="29"/>
        <v>3</v>
      </c>
      <c r="G119">
        <f t="shared" ca="1" si="30"/>
        <v>0</v>
      </c>
      <c r="H119">
        <f t="shared" ca="1" si="31"/>
        <v>0</v>
      </c>
      <c r="I119">
        <f t="shared" ca="1" si="32"/>
        <v>11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>F</v>
      </c>
      <c r="M119" s="145" t="s">
        <v>198</v>
      </c>
      <c r="N119" s="146" t="str">
        <f t="shared" ca="1" si="35"/>
        <v>Serviço</v>
      </c>
      <c r="O119" s="147" t="str">
        <f t="shared" ca="1" si="36"/>
        <v>2.3.11.</v>
      </c>
      <c r="P119" s="148" t="s">
        <v>246</v>
      </c>
      <c r="Q119" s="149" t="s">
        <v>517</v>
      </c>
      <c r="R119" s="150" t="str">
        <f t="shared" ca="1" si="37"/>
        <v>RODAPÉ CERÂMICO DE 7CM DE ALTURA COM PLACAS TIPO ESMALTADA EXTRA  DE DIMENSÕES 35X35CM. AF_06/2014</v>
      </c>
      <c r="S119" s="151" t="str">
        <f t="shared" ca="1" si="38"/>
        <v>M</v>
      </c>
      <c r="T119" s="152">
        <f ca="1">OFFSET(CÁLCULO!H$15,ROW($T119)-ROW(T$15),0)</f>
        <v>28</v>
      </c>
      <c r="U119" s="153">
        <v>4.57</v>
      </c>
      <c r="V119" s="154" t="s">
        <v>155</v>
      </c>
      <c r="W119" s="152">
        <f t="shared" ca="1" si="39"/>
        <v>5.82</v>
      </c>
      <c r="X119" s="155">
        <f t="shared" ca="1" si="40"/>
        <v>162.96</v>
      </c>
      <c r="Y119" s="156" t="s">
        <v>244</v>
      </c>
      <c r="Z119" t="str">
        <f t="shared" ca="1" si="41"/>
        <v>RA</v>
      </c>
      <c r="AA119" s="157">
        <f ca="1">IF($C119="S",IF($Z119="CP",$X119,IF($Z119="RA",(($X119)*QCI!$AA$3),0)),SomaAgrup)</f>
        <v>162.96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str">
        <f t="shared" ca="1" si="44"/>
        <v>SINAPI 88648</v>
      </c>
      <c r="AF119" s="160">
        <f t="shared" ca="1" si="45"/>
        <v>5340</v>
      </c>
      <c r="AG119" s="550">
        <f t="shared" ca="1" si="46"/>
        <v>4.57</v>
      </c>
      <c r="AH119" s="551">
        <f t="shared" ca="1" si="47"/>
        <v>0.27350000000000002</v>
      </c>
      <c r="AJ119" s="553">
        <v>28</v>
      </c>
      <c r="AL119" s="574"/>
      <c r="AM119" s="431">
        <f t="shared" ca="1" si="48"/>
        <v>162.96</v>
      </c>
      <c r="AN119" s="617">
        <f t="shared" ca="1" si="49"/>
        <v>5.82</v>
      </c>
    </row>
    <row r="120" spans="1:40" x14ac:dyDescent="0.2">
      <c r="A120">
        <f t="shared" si="25"/>
        <v>2</v>
      </c>
      <c r="B120">
        <f t="shared" ca="1" si="26"/>
        <v>2</v>
      </c>
      <c r="C120">
        <f t="shared" ca="1" si="27"/>
        <v>2</v>
      </c>
      <c r="D120">
        <f t="shared" ca="1" si="28"/>
        <v>7</v>
      </c>
      <c r="E120">
        <f ca="1">IF($C120=1,OFFSET(E120,-1,0)+MAX(1,COUNTIF(QCI!$A$13:$A$24,OFFSET(ORÇAMENTO!E120,-1,0))),OFFSET(E120,-1,0))</f>
        <v>2</v>
      </c>
      <c r="F120">
        <f t="shared" ca="1" si="29"/>
        <v>4</v>
      </c>
      <c r="G120">
        <f t="shared" ca="1" si="30"/>
        <v>0</v>
      </c>
      <c r="H120">
        <f t="shared" ca="1" si="31"/>
        <v>0</v>
      </c>
      <c r="I120">
        <f t="shared" ca="1" si="32"/>
        <v>0</v>
      </c>
      <c r="J120">
        <f t="shared" ca="1" si="33"/>
        <v>28</v>
      </c>
      <c r="K120">
        <f ca="1">IF(OR($C120="S",$C120=0),0,MATCH(OFFSET($D120,0,$C120)+IF($C120&lt;&gt;1,1,COUNTIF(QCI!$A$13:$A$24,ORÇAMENTO!E120)),OFFSET($D120,1,$C120,ROW($C$266)-ROW($C120)),0))</f>
        <v>7</v>
      </c>
      <c r="L120" s="144" t="str">
        <f t="shared" ca="1" si="34"/>
        <v>F</v>
      </c>
      <c r="M120" s="145" t="s">
        <v>195</v>
      </c>
      <c r="N120" s="146" t="str">
        <f t="shared" ca="1" si="35"/>
        <v>Nível 2</v>
      </c>
      <c r="O120" s="147" t="str">
        <f t="shared" ca="1" si="36"/>
        <v>2.4.</v>
      </c>
      <c r="P120" s="148" t="s">
        <v>246</v>
      </c>
      <c r="Q120" s="149"/>
      <c r="R120" s="150" t="str">
        <f ca="1">IF($C120="S",REFERENCIA.Descricao,"(ESQUADRIAS METALICAS / PORTAS METALICAS)")</f>
        <v>(ESQUADRIAS METALICAS / PORTAS METALICAS)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9331.4500000000007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9331.4500000000007</v>
      </c>
      <c r="AB120" s="158">
        <f t="shared" ca="1" si="42"/>
        <v>0</v>
      </c>
      <c r="AC120" s="159" t="str">
        <f t="shared" ca="1" si="43"/>
        <v/>
      </c>
      <c r="AD120" s="105">
        <f ca="1">IF(C120&lt;=CRONO.NivelExibicao,MAX($AD$15:OFFSET(AD120,-1,0))+IF($C120&lt;&gt;1,1,MAX(1,COUNTIF(QCI!$A$13:$A$24,OFFSET($E120,-1,0)))),"")</f>
        <v>12</v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0.27350000000000002</v>
      </c>
      <c r="AJ120" s="553"/>
      <c r="AL120" s="574"/>
      <c r="AM120" s="431">
        <f t="shared" ca="1" si="48"/>
        <v>9331.4500000000007</v>
      </c>
      <c r="AN120" s="617">
        <f t="shared" ca="1" si="49"/>
        <v>0</v>
      </c>
    </row>
    <row r="121" spans="1:40" ht="5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2</v>
      </c>
      <c r="F121">
        <f t="shared" ca="1" si="29"/>
        <v>4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>F</v>
      </c>
      <c r="M121" s="145" t="s">
        <v>198</v>
      </c>
      <c r="N121" s="146" t="str">
        <f t="shared" ca="1" si="35"/>
        <v>Serviço</v>
      </c>
      <c r="O121" s="147" t="str">
        <f t="shared" ca="1" si="36"/>
        <v>2.4.1.</v>
      </c>
      <c r="P121" s="148" t="s">
        <v>246</v>
      </c>
      <c r="Q121" s="149" t="s">
        <v>512</v>
      </c>
      <c r="R121" s="150" t="str">
        <f t="shared" ca="1" si="37"/>
        <v>JANELA DE AÇO TIPO BASCULANTE PARA VIDROS, COM BATENTE, FERRAGENS E PINTURA ANTICORROSIVA. EXCLUSIVE VIDROS, ACABAMENTO, ALIZAR E CONTRAMARCO. FORNECIMENTO E INSTALAÇÃO. AF_12/2019</v>
      </c>
      <c r="S121" s="151" t="str">
        <f t="shared" ca="1" si="38"/>
        <v>M2</v>
      </c>
      <c r="T121" s="152">
        <f ca="1">OFFSET(CÁLCULO!H$15,ROW($T121)-ROW(T$15),0)</f>
        <v>1.92</v>
      </c>
      <c r="U121" s="153">
        <v>897.34</v>
      </c>
      <c r="V121" s="154" t="s">
        <v>155</v>
      </c>
      <c r="W121" s="152">
        <f t="shared" ca="1" si="39"/>
        <v>1142.76</v>
      </c>
      <c r="X121" s="155">
        <f t="shared" ca="1" si="40"/>
        <v>2194.1</v>
      </c>
      <c r="Y121" s="156" t="s">
        <v>244</v>
      </c>
      <c r="Z121" t="str">
        <f t="shared" ca="1" si="41"/>
        <v>RA</v>
      </c>
      <c r="AA121" s="157">
        <f ca="1">IF($C121="S",IF($Z121="CP",$X121,IF($Z121="RA",(($X121)*QCI!$AA$3),0)),SomaAgrup)</f>
        <v>2194.1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str">
        <f t="shared" ca="1" si="44"/>
        <v>SINAPI 94559</v>
      </c>
      <c r="AF121" s="160">
        <f t="shared" ca="1" si="45"/>
        <v>1792</v>
      </c>
      <c r="AG121" s="550">
        <f t="shared" ca="1" si="46"/>
        <v>897.34</v>
      </c>
      <c r="AH121" s="551">
        <f t="shared" ca="1" si="47"/>
        <v>0.27350000000000002</v>
      </c>
      <c r="AJ121" s="553">
        <v>1.92</v>
      </c>
      <c r="AL121" s="574"/>
      <c r="AM121" s="431">
        <f t="shared" ca="1" si="48"/>
        <v>2194.1</v>
      </c>
      <c r="AN121" s="617">
        <f t="shared" ca="1" si="49"/>
        <v>1142.76</v>
      </c>
    </row>
    <row r="122" spans="1:40" ht="5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2</v>
      </c>
      <c r="F122">
        <f t="shared" ca="1" si="29"/>
        <v>4</v>
      </c>
      <c r="G122">
        <f t="shared" ca="1" si="30"/>
        <v>0</v>
      </c>
      <c r="H122">
        <f t="shared" ca="1" si="31"/>
        <v>0</v>
      </c>
      <c r="I122">
        <f t="shared" ca="1" si="32"/>
        <v>2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>F</v>
      </c>
      <c r="M122" s="145" t="s">
        <v>198</v>
      </c>
      <c r="N122" s="146" t="str">
        <f t="shared" ca="1" si="35"/>
        <v>Serviço</v>
      </c>
      <c r="O122" s="147" t="str">
        <f t="shared" ca="1" si="36"/>
        <v>2.4.2.</v>
      </c>
      <c r="P122" s="148" t="s">
        <v>452</v>
      </c>
      <c r="Q122" s="149" t="s">
        <v>513</v>
      </c>
      <c r="R122" s="150" t="str">
        <f t="shared" ca="1" si="37"/>
        <v>JANELA DE CORRER EM ALUMINIO, VENEZIANA, 120  X 150 CM (A X L), 3 FLS (2 VENEZIANAS E 1 VIDRO), SEM BANDEIRA, ACABAMENTO ACET OU BRILHANTE, BATENTE/REQUADRO DE 6 A 14 CM, COM VIDRO, SEM GUARNICAO/ALIZAR</v>
      </c>
      <c r="S122" s="151" t="str">
        <f t="shared" ca="1" si="38"/>
        <v xml:space="preserve">UN    </v>
      </c>
      <c r="T122" s="152">
        <f ca="1">OFFSET(CÁLCULO!H$15,ROW($T122)-ROW(T$15),0)</f>
        <v>3</v>
      </c>
      <c r="U122" s="153">
        <v>567.20000000000005</v>
      </c>
      <c r="V122" s="154" t="s">
        <v>155</v>
      </c>
      <c r="W122" s="152">
        <f t="shared" ca="1" si="39"/>
        <v>722.33</v>
      </c>
      <c r="X122" s="155">
        <f t="shared" ca="1" si="40"/>
        <v>2166.9899999999998</v>
      </c>
      <c r="Y122" s="156" t="s">
        <v>244</v>
      </c>
      <c r="Z122" t="str">
        <f t="shared" ca="1" si="41"/>
        <v>RA</v>
      </c>
      <c r="AA122" s="157">
        <f ca="1">IF($C122="S",IF($Z122="CP",$X122,IF($Z122="RA",(($X122)*QCI!$AA$3),0)),SomaAgrup)</f>
        <v>2166.9899999999998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str">
        <f t="shared" ca="1" si="44"/>
        <v>SINAPI-I 34371</v>
      </c>
      <c r="AF122" s="160">
        <f t="shared" ca="1" si="45"/>
        <v>8865</v>
      </c>
      <c r="AG122" s="550">
        <f t="shared" ca="1" si="46"/>
        <v>567.20000000000005</v>
      </c>
      <c r="AH122" s="551">
        <f t="shared" ca="1" si="47"/>
        <v>0.27350000000000002</v>
      </c>
      <c r="AJ122" s="553">
        <v>3</v>
      </c>
      <c r="AL122" s="574"/>
      <c r="AM122" s="431">
        <f t="shared" ca="1" si="48"/>
        <v>2166.9899999999998</v>
      </c>
      <c r="AN122" s="617">
        <f t="shared" ca="1" si="49"/>
        <v>722.33</v>
      </c>
    </row>
    <row r="123" spans="1:40" ht="25.5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2</v>
      </c>
      <c r="F123">
        <f t="shared" ca="1" si="29"/>
        <v>4</v>
      </c>
      <c r="G123">
        <f t="shared" ca="1" si="30"/>
        <v>0</v>
      </c>
      <c r="H123">
        <f t="shared" ca="1" si="31"/>
        <v>0</v>
      </c>
      <c r="I123">
        <f t="shared" ca="1" si="32"/>
        <v>3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>F</v>
      </c>
      <c r="M123" s="145" t="s">
        <v>198</v>
      </c>
      <c r="N123" s="146" t="str">
        <f t="shared" ca="1" si="35"/>
        <v>Serviço</v>
      </c>
      <c r="O123" s="147" t="str">
        <f t="shared" ca="1" si="36"/>
        <v>2.4.3.</v>
      </c>
      <c r="P123" s="148" t="s">
        <v>246</v>
      </c>
      <c r="Q123" s="149" t="s">
        <v>514</v>
      </c>
      <c r="R123" s="150" t="str">
        <f t="shared" ca="1" si="37"/>
        <v>GRADIL EM FERRO FIXADO EM VÃOS DE JANELAS, FORMADO POR BARRAS CHATAS DE 25X4,8 MM. AF_04/2019</v>
      </c>
      <c r="S123" s="151" t="str">
        <f t="shared" ca="1" si="38"/>
        <v>M2</v>
      </c>
      <c r="T123" s="152">
        <f ca="1">OFFSET(CÁLCULO!H$15,ROW($T123)-ROW(T$15),0)</f>
        <v>7.32</v>
      </c>
      <c r="U123" s="153">
        <v>441.38</v>
      </c>
      <c r="V123" s="154" t="s">
        <v>155</v>
      </c>
      <c r="W123" s="152">
        <f t="shared" ca="1" si="39"/>
        <v>562.1</v>
      </c>
      <c r="X123" s="155">
        <f t="shared" ca="1" si="40"/>
        <v>4114.57</v>
      </c>
      <c r="Y123" s="156" t="s">
        <v>244</v>
      </c>
      <c r="Z123" t="str">
        <f t="shared" ca="1" si="41"/>
        <v>RA</v>
      </c>
      <c r="AA123" s="157">
        <f ca="1">IF($C123="S",IF($Z123="CP",$X123,IF($Z123="RA",(($X123)*QCI!$AA$3),0)),SomaAgrup)</f>
        <v>4114.57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str">
        <f t="shared" ca="1" si="44"/>
        <v>SINAPI 99861</v>
      </c>
      <c r="AF123" s="160">
        <f t="shared" ca="1" si="45"/>
        <v>1803</v>
      </c>
      <c r="AG123" s="550">
        <f t="shared" ca="1" si="46"/>
        <v>441.38</v>
      </c>
      <c r="AH123" s="551">
        <f t="shared" ca="1" si="47"/>
        <v>0.27350000000000002</v>
      </c>
      <c r="AJ123" s="553">
        <v>7.32</v>
      </c>
      <c r="AL123" s="574"/>
      <c r="AM123" s="431">
        <f t="shared" ca="1" si="48"/>
        <v>4114.57</v>
      </c>
      <c r="AN123" s="617">
        <f t="shared" ca="1" si="49"/>
        <v>562.1</v>
      </c>
    </row>
    <row r="124" spans="1:40" ht="25.5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2</v>
      </c>
      <c r="F124">
        <f t="shared" ca="1" si="29"/>
        <v>4</v>
      </c>
      <c r="G124">
        <f t="shared" ca="1" si="30"/>
        <v>0</v>
      </c>
      <c r="H124">
        <f t="shared" ca="1" si="31"/>
        <v>0</v>
      </c>
      <c r="I124">
        <f t="shared" ca="1" si="32"/>
        <v>4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>F</v>
      </c>
      <c r="M124" s="145" t="s">
        <v>198</v>
      </c>
      <c r="N124" s="146" t="str">
        <f t="shared" ca="1" si="35"/>
        <v>Serviço</v>
      </c>
      <c r="O124" s="147" t="str">
        <f t="shared" ca="1" si="36"/>
        <v>2.4.4.</v>
      </c>
      <c r="P124" s="148" t="s">
        <v>246</v>
      </c>
      <c r="Q124" s="149" t="s">
        <v>515</v>
      </c>
      <c r="R124" s="150" t="str">
        <f t="shared" ca="1" si="37"/>
        <v>PORTA DE FERRO, DE ABRIR, TIPO GRADE COM CHAPA, COM GUARNIÇÕES. AF_12/2019</v>
      </c>
      <c r="S124" s="151" t="str">
        <f t="shared" ca="1" si="38"/>
        <v>M2</v>
      </c>
      <c r="T124" s="152">
        <f ca="1">OFFSET(CÁLCULO!H$15,ROW($T124)-ROW(T$15),0)</f>
        <v>1.68</v>
      </c>
      <c r="U124" s="153">
        <v>400</v>
      </c>
      <c r="V124" s="154" t="s">
        <v>155</v>
      </c>
      <c r="W124" s="152">
        <f t="shared" ca="1" si="39"/>
        <v>509.4</v>
      </c>
      <c r="X124" s="155">
        <f t="shared" ca="1" si="40"/>
        <v>855.79</v>
      </c>
      <c r="Y124" s="156" t="s">
        <v>244</v>
      </c>
      <c r="Z124" t="str">
        <f t="shared" ca="1" si="41"/>
        <v>RA</v>
      </c>
      <c r="AA124" s="157">
        <f ca="1">IF($C124="S",IF($Z124="CP",$X124,IF($Z124="RA",(($X124)*QCI!$AA$3),0)),SomaAgrup)</f>
        <v>855.79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str">
        <f t="shared" ca="1" si="44"/>
        <v>SINAPI 100701</v>
      </c>
      <c r="AF124" s="160">
        <f t="shared" ca="1" si="45"/>
        <v>1791</v>
      </c>
      <c r="AG124" s="550">
        <f t="shared" ca="1" si="46"/>
        <v>426.33</v>
      </c>
      <c r="AH124" s="551">
        <f t="shared" ca="1" si="47"/>
        <v>0.27350000000000002</v>
      </c>
      <c r="AJ124" s="553">
        <v>1.68</v>
      </c>
      <c r="AL124" s="574"/>
      <c r="AM124" s="431">
        <f t="shared" ca="1" si="48"/>
        <v>855.79</v>
      </c>
      <c r="AN124" s="617">
        <f t="shared" ca="1" si="49"/>
        <v>509.4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2</v>
      </c>
      <c r="F125">
        <f t="shared" ca="1" si="29"/>
        <v>4</v>
      </c>
      <c r="G125">
        <f t="shared" ca="1" si="30"/>
        <v>0</v>
      </c>
      <c r="H125">
        <f t="shared" ca="1" si="31"/>
        <v>0</v>
      </c>
      <c r="I125">
        <f t="shared" ca="1" si="32"/>
        <v>4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0.27350000000000002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2</v>
      </c>
      <c r="F126">
        <f t="shared" ca="1" si="29"/>
        <v>4</v>
      </c>
      <c r="G126">
        <f t="shared" ca="1" si="30"/>
        <v>0</v>
      </c>
      <c r="H126">
        <f t="shared" ca="1" si="31"/>
        <v>0</v>
      </c>
      <c r="I126">
        <f t="shared" ca="1" si="32"/>
        <v>4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0.27350000000000002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x14ac:dyDescent="0.2">
      <c r="A127">
        <f t="shared" si="25"/>
        <v>2</v>
      </c>
      <c r="B127">
        <f t="shared" ca="1" si="26"/>
        <v>2</v>
      </c>
      <c r="C127">
        <f t="shared" ca="1" si="27"/>
        <v>2</v>
      </c>
      <c r="D127">
        <f t="shared" ca="1" si="28"/>
        <v>16</v>
      </c>
      <c r="E127">
        <f ca="1">IF($C127=1,OFFSET(E127,-1,0)+MAX(1,COUNTIF(QCI!$A$13:$A$24,OFFSET(ORÇAMENTO!E127,-1,0))),OFFSET(E127,-1,0))</f>
        <v>2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0</v>
      </c>
      <c r="J127">
        <f t="shared" ca="1" si="33"/>
        <v>21</v>
      </c>
      <c r="K127">
        <f ca="1">IF(OR($C127="S",$C127=0),0,MATCH(OFFSET($D127,0,$C127)+IF($C127&lt;&gt;1,1,COUNTIF(QCI!$A$13:$A$24,ORÇAMENTO!E127)),OFFSET($D127,1,$C127,ROW($C$266)-ROW($C127)),0))</f>
        <v>16</v>
      </c>
      <c r="L127" s="144" t="str">
        <f t="shared" ca="1" si="34"/>
        <v>F</v>
      </c>
      <c r="M127" s="145" t="s">
        <v>195</v>
      </c>
      <c r="N127" s="146" t="str">
        <f t="shared" ca="1" si="35"/>
        <v>Nível 2</v>
      </c>
      <c r="O127" s="147" t="str">
        <f t="shared" ca="1" si="36"/>
        <v>2.5.</v>
      </c>
      <c r="P127" s="148" t="s">
        <v>246</v>
      </c>
      <c r="Q127" s="149"/>
      <c r="R127" s="150" t="str">
        <f ca="1">IF($C127="S",REFERENCIA.Descricao,"(INSTALAÇÕES ELÉTRICAS)")</f>
        <v>(INSTALAÇÕES ELÉTRICAS)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3253.15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3253.15</v>
      </c>
      <c r="AB127" s="158">
        <f t="shared" ca="1" si="42"/>
        <v>0</v>
      </c>
      <c r="AC127" s="159" t="str">
        <f t="shared" ca="1" si="43"/>
        <v/>
      </c>
      <c r="AD127" s="105">
        <f ca="1">IF(C127&lt;=CRONO.NivelExibicao,MAX($AD$15:OFFSET(AD127,-1,0))+IF($C127&lt;&gt;1,1,MAX(1,COUNTIF(QCI!$A$13:$A$24,OFFSET($E127,-1,0)))),"")</f>
        <v>13</v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0.27350000000000002</v>
      </c>
      <c r="AJ127" s="553"/>
      <c r="AL127" s="574"/>
      <c r="AM127" s="431">
        <f t="shared" ca="1" si="48"/>
        <v>3253.15</v>
      </c>
      <c r="AN127" s="617">
        <f t="shared" ca="1" si="49"/>
        <v>0</v>
      </c>
    </row>
    <row r="128" spans="1:40" ht="25.5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2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>F</v>
      </c>
      <c r="M128" s="145" t="s">
        <v>198</v>
      </c>
      <c r="N128" s="146" t="str">
        <f t="shared" ca="1" si="35"/>
        <v>Serviço</v>
      </c>
      <c r="O128" s="147" t="str">
        <f t="shared" ca="1" si="36"/>
        <v>2.5.1.</v>
      </c>
      <c r="P128" s="148" t="s">
        <v>452</v>
      </c>
      <c r="Q128" s="149" t="s">
        <v>479</v>
      </c>
      <c r="R128" s="150" t="str">
        <f t="shared" ca="1" si="37"/>
        <v>FIO DE COBRE, SOLIDO, CLASSE 1, ISOLACAO EM PVC/A, ANTICHAMA BWF-B, 450/750V, SECAO NOMINAL 2,5 MM2</v>
      </c>
      <c r="S128" s="151" t="str">
        <f t="shared" ca="1" si="38"/>
        <v xml:space="preserve">M     </v>
      </c>
      <c r="T128" s="152">
        <f ca="1">OFFSET(CÁLCULO!H$15,ROW($T128)-ROW(T$15),0)</f>
        <v>111.4</v>
      </c>
      <c r="U128" s="153">
        <v>1.18</v>
      </c>
      <c r="V128" s="154" t="s">
        <v>155</v>
      </c>
      <c r="W128" s="152">
        <f t="shared" ca="1" si="39"/>
        <v>1.5</v>
      </c>
      <c r="X128" s="155">
        <f t="shared" ca="1" si="40"/>
        <v>167.1</v>
      </c>
      <c r="Y128" s="156" t="s">
        <v>244</v>
      </c>
      <c r="Z128" t="str">
        <f t="shared" ca="1" si="41"/>
        <v>RA</v>
      </c>
      <c r="AA128" s="157">
        <f ca="1">IF($C128="S",IF($Z128="CP",$X128,IF($Z128="RA",(($X128)*QCI!$AA$3),0)),SomaAgrup)</f>
        <v>167.1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str">
        <f t="shared" ca="1" si="44"/>
        <v>SINAPI-I 939</v>
      </c>
      <c r="AF128" s="160">
        <f t="shared" ca="1" si="45"/>
        <v>8597</v>
      </c>
      <c r="AG128" s="550">
        <f t="shared" ca="1" si="46"/>
        <v>1.18</v>
      </c>
      <c r="AH128" s="551">
        <f t="shared" ca="1" si="47"/>
        <v>0.27350000000000002</v>
      </c>
      <c r="AJ128" s="553">
        <v>111.4</v>
      </c>
      <c r="AL128" s="574"/>
      <c r="AM128" s="431">
        <f t="shared" ca="1" si="48"/>
        <v>167.1</v>
      </c>
      <c r="AN128" s="617">
        <f t="shared" ca="1" si="49"/>
        <v>1.5</v>
      </c>
    </row>
    <row r="129" spans="1:40" ht="25.5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2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2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>F</v>
      </c>
      <c r="M129" s="145" t="s">
        <v>198</v>
      </c>
      <c r="N129" s="146" t="str">
        <f t="shared" ca="1" si="35"/>
        <v>Serviço</v>
      </c>
      <c r="O129" s="147" t="str">
        <f t="shared" ca="1" si="36"/>
        <v>2.5.2.</v>
      </c>
      <c r="P129" s="148" t="s">
        <v>452</v>
      </c>
      <c r="Q129" s="149" t="s">
        <v>480</v>
      </c>
      <c r="R129" s="150" t="str">
        <f t="shared" ca="1" si="37"/>
        <v>FIO DE COBRE, SOLIDO, CLASSE 1, ISOLACAO EM PVC/A, ANTICHAMA BWF-B, 450/750V, SECAO NOMINAL 4 MM2</v>
      </c>
      <c r="S129" s="151" t="str">
        <f t="shared" ca="1" si="38"/>
        <v xml:space="preserve">M     </v>
      </c>
      <c r="T129" s="152">
        <f ca="1">OFFSET(CÁLCULO!H$15,ROW($T129)-ROW(T$15),0)</f>
        <v>394</v>
      </c>
      <c r="U129" s="153">
        <v>2.02</v>
      </c>
      <c r="V129" s="154" t="s">
        <v>155</v>
      </c>
      <c r="W129" s="152">
        <f t="shared" ca="1" si="39"/>
        <v>2.57</v>
      </c>
      <c r="X129" s="155">
        <f t="shared" ca="1" si="40"/>
        <v>1012.58</v>
      </c>
      <c r="Y129" s="156" t="s">
        <v>244</v>
      </c>
      <c r="Z129" t="str">
        <f t="shared" ca="1" si="41"/>
        <v>RA</v>
      </c>
      <c r="AA129" s="157">
        <f ca="1">IF($C129="S",IF($Z129="CP",$X129,IF($Z129="RA",(($X129)*QCI!$AA$3),0)),SomaAgrup)</f>
        <v>1012.58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str">
        <f t="shared" ca="1" si="44"/>
        <v>SINAPI-I 944</v>
      </c>
      <c r="AF129" s="160">
        <f t="shared" ca="1" si="45"/>
        <v>8598</v>
      </c>
      <c r="AG129" s="550">
        <f t="shared" ca="1" si="46"/>
        <v>2.02</v>
      </c>
      <c r="AH129" s="551">
        <f t="shared" ca="1" si="47"/>
        <v>0.27350000000000002</v>
      </c>
      <c r="AJ129" s="553">
        <v>394</v>
      </c>
      <c r="AL129" s="574"/>
      <c r="AM129" s="431">
        <f t="shared" ca="1" si="48"/>
        <v>1012.58</v>
      </c>
      <c r="AN129" s="617">
        <f t="shared" ca="1" si="49"/>
        <v>2.57</v>
      </c>
    </row>
    <row r="130" spans="1:40" ht="25.5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2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3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>F</v>
      </c>
      <c r="M130" s="145" t="s">
        <v>198</v>
      </c>
      <c r="N130" s="146" t="str">
        <f t="shared" ca="1" si="35"/>
        <v>Serviço</v>
      </c>
      <c r="O130" s="147" t="str">
        <f t="shared" ca="1" si="36"/>
        <v>2.5.3.</v>
      </c>
      <c r="P130" s="148" t="s">
        <v>452</v>
      </c>
      <c r="Q130" s="149" t="s">
        <v>481</v>
      </c>
      <c r="R130" s="150" t="str">
        <f t="shared" ca="1" si="37"/>
        <v>FIO DE COBRE, SOLIDO, CLASSE 1, ISOLACAO EM PVC/A, ANTICHAMA BWF-B, 450/750V, SECAO NOMINAL 6 MM2</v>
      </c>
      <c r="S130" s="151" t="str">
        <f t="shared" ca="1" si="38"/>
        <v xml:space="preserve">M     </v>
      </c>
      <c r="T130" s="152">
        <f ca="1">OFFSET(CÁLCULO!H$15,ROW($T130)-ROW(T$15),0)</f>
        <v>40.799999999999997</v>
      </c>
      <c r="U130" s="153">
        <v>2.79</v>
      </c>
      <c r="V130" s="154" t="s">
        <v>155</v>
      </c>
      <c r="W130" s="152">
        <f t="shared" ca="1" si="39"/>
        <v>3.55</v>
      </c>
      <c r="X130" s="155">
        <f t="shared" ca="1" si="40"/>
        <v>144.84</v>
      </c>
      <c r="Y130" s="156" t="s">
        <v>244</v>
      </c>
      <c r="Z130" t="str">
        <f t="shared" ca="1" si="41"/>
        <v>RA</v>
      </c>
      <c r="AA130" s="157">
        <f ca="1">IF($C130="S",IF($Z130="CP",$X130,IF($Z130="RA",(($X130)*QCI!$AA$3),0)),SomaAgrup)</f>
        <v>144.84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str">
        <f t="shared" ca="1" si="44"/>
        <v>SINAPI-I 940</v>
      </c>
      <c r="AF130" s="160">
        <f t="shared" ca="1" si="45"/>
        <v>8599</v>
      </c>
      <c r="AG130" s="550">
        <f t="shared" ca="1" si="46"/>
        <v>2.79</v>
      </c>
      <c r="AH130" s="551">
        <f t="shared" ca="1" si="47"/>
        <v>0.27350000000000002</v>
      </c>
      <c r="AJ130" s="553">
        <v>40.799999999999997</v>
      </c>
      <c r="AL130" s="574"/>
      <c r="AM130" s="431">
        <f t="shared" ca="1" si="48"/>
        <v>144.84</v>
      </c>
      <c r="AN130" s="617">
        <f t="shared" ca="1" si="49"/>
        <v>3.55</v>
      </c>
    </row>
    <row r="131" spans="1:40" ht="38.25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4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>F</v>
      </c>
      <c r="M131" s="145" t="s">
        <v>198</v>
      </c>
      <c r="N131" s="146" t="str">
        <f t="shared" ca="1" si="35"/>
        <v>Serviço</v>
      </c>
      <c r="O131" s="147" t="str">
        <f t="shared" ca="1" si="36"/>
        <v>2.5.4.</v>
      </c>
      <c r="P131" s="148" t="s">
        <v>452</v>
      </c>
      <c r="Q131" s="149" t="s">
        <v>482</v>
      </c>
      <c r="R131" s="150" t="str">
        <f t="shared" ca="1" si="37"/>
        <v>INTERRUPTOR SIMPLES + INTERRUPTOR PARALELO 10A, 250V, CONJUNTO MONTADO PARA EMBUTIR 4" X 2" (PLACA + SUPORTE + MODULOS)</v>
      </c>
      <c r="S131" s="151" t="str">
        <f t="shared" ca="1" si="38"/>
        <v xml:space="preserve">UN    </v>
      </c>
      <c r="T131" s="152">
        <f ca="1">OFFSET(CÁLCULO!H$15,ROW($T131)-ROW(T$15),0)</f>
        <v>2</v>
      </c>
      <c r="U131" s="153">
        <v>15.33</v>
      </c>
      <c r="V131" s="154" t="s">
        <v>155</v>
      </c>
      <c r="W131" s="152">
        <f t="shared" ca="1" si="39"/>
        <v>19.52</v>
      </c>
      <c r="X131" s="155">
        <f t="shared" ca="1" si="40"/>
        <v>39.04</v>
      </c>
      <c r="Y131" s="156" t="s">
        <v>244</v>
      </c>
      <c r="Z131" t="str">
        <f t="shared" ca="1" si="41"/>
        <v>RA</v>
      </c>
      <c r="AA131" s="157">
        <f ca="1">IF($C131="S",IF($Z131="CP",$X131,IF($Z131="RA",(($X131)*QCI!$AA$3),0)),SomaAgrup)</f>
        <v>39.04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str">
        <f t="shared" ca="1" si="44"/>
        <v>SINAPI-I 38069</v>
      </c>
      <c r="AF131" s="160">
        <f t="shared" ca="1" si="45"/>
        <v>8835</v>
      </c>
      <c r="AG131" s="550">
        <f t="shared" ca="1" si="46"/>
        <v>15.33</v>
      </c>
      <c r="AH131" s="551">
        <f t="shared" ca="1" si="47"/>
        <v>0.27350000000000002</v>
      </c>
      <c r="AJ131" s="553">
        <v>2</v>
      </c>
      <c r="AL131" s="574"/>
      <c r="AM131" s="431">
        <f t="shared" ca="1" si="48"/>
        <v>39.04</v>
      </c>
      <c r="AN131" s="617">
        <f t="shared" ca="1" si="49"/>
        <v>19.52</v>
      </c>
    </row>
    <row r="132" spans="1:40" ht="25.5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5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>F</v>
      </c>
      <c r="M132" s="145" t="s">
        <v>198</v>
      </c>
      <c r="N132" s="146" t="str">
        <f t="shared" ca="1" si="35"/>
        <v>Serviço</v>
      </c>
      <c r="O132" s="147" t="str">
        <f t="shared" ca="1" si="36"/>
        <v>2.5.5.</v>
      </c>
      <c r="P132" s="148" t="s">
        <v>452</v>
      </c>
      <c r="Q132" s="149" t="s">
        <v>518</v>
      </c>
      <c r="R132" s="150" t="str">
        <f t="shared" ca="1" si="37"/>
        <v>TOMADA 2P+T 20A 250V, CONJUNTO MONTADO PARA EMBUTIR 4" X 2" (PLACA + SUPORTE + MODULO)</v>
      </c>
      <c r="S132" s="151" t="str">
        <f t="shared" ca="1" si="38"/>
        <v xml:space="preserve">UN    </v>
      </c>
      <c r="T132" s="152">
        <f ca="1">OFFSET(CÁLCULO!H$15,ROW($T132)-ROW(T$15),0)</f>
        <v>16</v>
      </c>
      <c r="U132" s="153">
        <v>15.59</v>
      </c>
      <c r="V132" s="154" t="s">
        <v>155</v>
      </c>
      <c r="W132" s="152">
        <f t="shared" ca="1" si="39"/>
        <v>19.850000000000001</v>
      </c>
      <c r="X132" s="155">
        <f t="shared" ca="1" si="40"/>
        <v>317.60000000000002</v>
      </c>
      <c r="Y132" s="156" t="s">
        <v>244</v>
      </c>
      <c r="Z132" t="str">
        <f t="shared" ca="1" si="41"/>
        <v>RA</v>
      </c>
      <c r="AA132" s="157">
        <f ca="1">IF($C132="S",IF($Z132="CP",$X132,IF($Z132="RA",(($X132)*QCI!$AA$3),0)),SomaAgrup)</f>
        <v>317.60000000000002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str">
        <f t="shared" ca="1" si="44"/>
        <v>SINAPI-I 38075</v>
      </c>
      <c r="AF132" s="160">
        <f t="shared" ca="1" si="45"/>
        <v>11018</v>
      </c>
      <c r="AG132" s="550">
        <f t="shared" ca="1" si="46"/>
        <v>15.59</v>
      </c>
      <c r="AH132" s="551">
        <f t="shared" ca="1" si="47"/>
        <v>0.27350000000000002</v>
      </c>
      <c r="AJ132" s="553">
        <v>16</v>
      </c>
      <c r="AL132" s="574"/>
      <c r="AM132" s="431">
        <f t="shared" ca="1" si="48"/>
        <v>317.60000000000002</v>
      </c>
      <c r="AN132" s="617">
        <f t="shared" ca="1" si="49"/>
        <v>19.850000000000001</v>
      </c>
    </row>
    <row r="133" spans="1:40" ht="25.5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6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>F</v>
      </c>
      <c r="M133" s="145" t="s">
        <v>198</v>
      </c>
      <c r="N133" s="146" t="str">
        <f t="shared" ca="1" si="35"/>
        <v>Serviço</v>
      </c>
      <c r="O133" s="147" t="str">
        <f t="shared" ca="1" si="36"/>
        <v>2.5.6.</v>
      </c>
      <c r="P133" s="148" t="s">
        <v>246</v>
      </c>
      <c r="Q133" s="149" t="s">
        <v>484</v>
      </c>
      <c r="R133" s="150" t="str">
        <f t="shared" ca="1" si="37"/>
        <v>TOMADA ALTA DE EMBUTIR (1 MÓDULO), 2P+T 10 A, SEM SUPORTE E SEM PLACA - FORNECIMENTO E INSTALAÇÃO. AF_12/2015</v>
      </c>
      <c r="S133" s="151" t="str">
        <f t="shared" ca="1" si="38"/>
        <v>UN</v>
      </c>
      <c r="T133" s="152">
        <f ca="1">OFFSET(CÁLCULO!H$15,ROW($T133)-ROW(T$15),0)</f>
        <v>1</v>
      </c>
      <c r="U133" s="153">
        <v>27.46</v>
      </c>
      <c r="V133" s="154" t="s">
        <v>155</v>
      </c>
      <c r="W133" s="152">
        <f t="shared" ca="1" si="39"/>
        <v>34.97</v>
      </c>
      <c r="X133" s="155">
        <f t="shared" ca="1" si="40"/>
        <v>34.97</v>
      </c>
      <c r="Y133" s="156" t="s">
        <v>244</v>
      </c>
      <c r="Z133" t="str">
        <f t="shared" ca="1" si="41"/>
        <v>RA</v>
      </c>
      <c r="AA133" s="157">
        <f ca="1">IF($C133="S",IF($Z133="CP",$X133,IF($Z133="RA",(($X133)*QCI!$AA$3),0)),SomaAgrup)</f>
        <v>34.97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str">
        <f t="shared" ca="1" si="44"/>
        <v>SINAPI 91990</v>
      </c>
      <c r="AF133" s="160">
        <f t="shared" ca="1" si="45"/>
        <v>2753</v>
      </c>
      <c r="AG133" s="550">
        <f t="shared" ca="1" si="46"/>
        <v>27.46</v>
      </c>
      <c r="AH133" s="551">
        <f t="shared" ca="1" si="47"/>
        <v>0.27350000000000002</v>
      </c>
      <c r="AJ133" s="553">
        <v>1</v>
      </c>
      <c r="AL133" s="574"/>
      <c r="AM133" s="431">
        <f t="shared" ca="1" si="48"/>
        <v>34.97</v>
      </c>
      <c r="AN133" s="617">
        <f t="shared" ca="1" si="49"/>
        <v>34.97</v>
      </c>
    </row>
    <row r="134" spans="1:40" ht="25.5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7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>F</v>
      </c>
      <c r="M134" s="145" t="s">
        <v>198</v>
      </c>
      <c r="N134" s="146" t="str">
        <f t="shared" ca="1" si="35"/>
        <v>Serviço</v>
      </c>
      <c r="O134" s="147" t="str">
        <f t="shared" ca="1" si="36"/>
        <v>2.5.7.</v>
      </c>
      <c r="P134" s="148" t="s">
        <v>452</v>
      </c>
      <c r="Q134" s="149" t="s">
        <v>485</v>
      </c>
      <c r="R134" s="150" t="str">
        <f t="shared" ca="1" si="37"/>
        <v>QUADRO DE DISTRIBUICAO, SEM BARRAMENTO, EM PVC, DE SOBREPOR, PARA 6 DISJUNTORES NEMA OU 8 DISJUNTORES DIN</v>
      </c>
      <c r="S134" s="151" t="str">
        <f t="shared" ca="1" si="38"/>
        <v xml:space="preserve">UN    </v>
      </c>
      <c r="T134" s="152">
        <f ca="1">OFFSET(CÁLCULO!H$15,ROW($T134)-ROW(T$15),0)</f>
        <v>1</v>
      </c>
      <c r="U134" s="153">
        <v>48.26</v>
      </c>
      <c r="V134" s="154" t="s">
        <v>155</v>
      </c>
      <c r="W134" s="152">
        <f t="shared" ca="1" si="39"/>
        <v>61.46</v>
      </c>
      <c r="X134" s="155">
        <f t="shared" ca="1" si="40"/>
        <v>61.46</v>
      </c>
      <c r="Y134" s="156" t="s">
        <v>244</v>
      </c>
      <c r="Z134" t="str">
        <f t="shared" ca="1" si="41"/>
        <v>RA</v>
      </c>
      <c r="AA134" s="157">
        <f ca="1">IF($C134="S",IF($Z134="CP",$X134,IF($Z134="RA",(($X134)*QCI!$AA$3),0)),SomaAgrup)</f>
        <v>61.46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str">
        <f t="shared" ca="1" si="44"/>
        <v>SINAPI-I 39800</v>
      </c>
      <c r="AF134" s="160">
        <f t="shared" ca="1" si="45"/>
        <v>10280</v>
      </c>
      <c r="AG134" s="550">
        <f t="shared" ca="1" si="46"/>
        <v>48.26</v>
      </c>
      <c r="AH134" s="551">
        <f t="shared" ca="1" si="47"/>
        <v>0.27350000000000002</v>
      </c>
      <c r="AJ134" s="553">
        <v>1</v>
      </c>
      <c r="AL134" s="574"/>
      <c r="AM134" s="431">
        <f t="shared" ca="1" si="48"/>
        <v>61.46</v>
      </c>
      <c r="AN134" s="617">
        <f t="shared" ca="1" si="49"/>
        <v>61.46</v>
      </c>
    </row>
    <row r="135" spans="1:40" ht="25.5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8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>F</v>
      </c>
      <c r="M135" s="145" t="s">
        <v>198</v>
      </c>
      <c r="N135" s="146" t="str">
        <f t="shared" ca="1" si="35"/>
        <v>Serviço</v>
      </c>
      <c r="O135" s="147" t="str">
        <f t="shared" ca="1" si="36"/>
        <v>2.5.8.</v>
      </c>
      <c r="P135" s="148" t="s">
        <v>452</v>
      </c>
      <c r="Q135" s="149" t="s">
        <v>486</v>
      </c>
      <c r="R135" s="150" t="str">
        <f t="shared" ca="1" si="37"/>
        <v>SOQUETE DE PORCELANA BASE E27, FIXO DE TETO, PARA LAMPADAS</v>
      </c>
      <c r="S135" s="151" t="str">
        <f t="shared" ca="1" si="38"/>
        <v xml:space="preserve">UN    </v>
      </c>
      <c r="T135" s="152">
        <f ca="1">OFFSET(CÁLCULO!H$15,ROW($T135)-ROW(T$15),0)</f>
        <v>9</v>
      </c>
      <c r="U135" s="153">
        <v>3.17</v>
      </c>
      <c r="V135" s="154" t="s">
        <v>155</v>
      </c>
      <c r="W135" s="152">
        <f t="shared" ca="1" si="39"/>
        <v>4.04</v>
      </c>
      <c r="X135" s="155">
        <f t="shared" ca="1" si="40"/>
        <v>36.36</v>
      </c>
      <c r="Y135" s="156" t="s">
        <v>244</v>
      </c>
      <c r="Z135" t="str">
        <f t="shared" ca="1" si="41"/>
        <v>RA</v>
      </c>
      <c r="AA135" s="157">
        <f ca="1">IF($C135="S",IF($Z135="CP",$X135,IF($Z135="RA",(($X135)*QCI!$AA$3),0)),SomaAgrup)</f>
        <v>36.36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str">
        <f t="shared" ca="1" si="44"/>
        <v>SINAPI-I 12296</v>
      </c>
      <c r="AF135" s="160">
        <f t="shared" ca="1" si="45"/>
        <v>10522</v>
      </c>
      <c r="AG135" s="550">
        <f t="shared" ca="1" si="46"/>
        <v>3.17</v>
      </c>
      <c r="AH135" s="551">
        <f t="shared" ca="1" si="47"/>
        <v>0.27350000000000002</v>
      </c>
      <c r="AJ135" s="553">
        <v>9</v>
      </c>
      <c r="AL135" s="574"/>
      <c r="AM135" s="431">
        <f t="shared" ca="1" si="48"/>
        <v>36.36</v>
      </c>
      <c r="AN135" s="617">
        <f t="shared" ca="1" si="49"/>
        <v>4.04</v>
      </c>
    </row>
    <row r="136" spans="1:40" ht="25.5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2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9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>F</v>
      </c>
      <c r="M136" s="145" t="s">
        <v>198</v>
      </c>
      <c r="N136" s="146" t="str">
        <f t="shared" ca="1" si="35"/>
        <v>Serviço</v>
      </c>
      <c r="O136" s="147" t="str">
        <f t="shared" ca="1" si="36"/>
        <v>2.5.9.</v>
      </c>
      <c r="P136" s="148" t="s">
        <v>452</v>
      </c>
      <c r="Q136" s="149" t="s">
        <v>487</v>
      </c>
      <c r="R136" s="150" t="str">
        <f t="shared" ca="1" si="37"/>
        <v>LAMPADA FLUORESCENTE ESPIRAL BRANCA 45 W, BASE E27 (127/220 V)</v>
      </c>
      <c r="S136" s="151" t="str">
        <f t="shared" ca="1" si="38"/>
        <v xml:space="preserve">UN    </v>
      </c>
      <c r="T136" s="152">
        <f ca="1">OFFSET(CÁLCULO!H$15,ROW($T136)-ROW(T$15),0)</f>
        <v>9</v>
      </c>
      <c r="U136" s="153">
        <v>49.06</v>
      </c>
      <c r="V136" s="154" t="s">
        <v>155</v>
      </c>
      <c r="W136" s="152">
        <f t="shared" ca="1" si="39"/>
        <v>62.48</v>
      </c>
      <c r="X136" s="155">
        <f t="shared" ca="1" si="40"/>
        <v>562.32000000000005</v>
      </c>
      <c r="Y136" s="156" t="s">
        <v>244</v>
      </c>
      <c r="Z136" t="str">
        <f t="shared" ca="1" si="41"/>
        <v>RA</v>
      </c>
      <c r="AA136" s="157">
        <f ca="1">IF($C136="S",IF($Z136="CP",$X136,IF($Z136="RA",(($X136)*QCI!$AA$3),0)),SomaAgrup)</f>
        <v>562.32000000000005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str">
        <f t="shared" ca="1" si="44"/>
        <v>SINAPI-I 38781</v>
      </c>
      <c r="AF136" s="160">
        <f t="shared" ca="1" si="45"/>
        <v>9144</v>
      </c>
      <c r="AG136" s="550">
        <f t="shared" ca="1" si="46"/>
        <v>49.06</v>
      </c>
      <c r="AH136" s="551">
        <f t="shared" ca="1" si="47"/>
        <v>0.27350000000000002</v>
      </c>
      <c r="AJ136" s="553">
        <v>9</v>
      </c>
      <c r="AL136" s="574"/>
      <c r="AM136" s="431">
        <f t="shared" ca="1" si="48"/>
        <v>562.32000000000005</v>
      </c>
      <c r="AN136" s="617">
        <f t="shared" ca="1" si="49"/>
        <v>62.48</v>
      </c>
    </row>
    <row r="137" spans="1:40" ht="38.25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10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>F</v>
      </c>
      <c r="M137" s="145" t="s">
        <v>198</v>
      </c>
      <c r="N137" s="146" t="str">
        <f t="shared" ca="1" si="35"/>
        <v>Serviço</v>
      </c>
      <c r="O137" s="147" t="str">
        <f t="shared" ca="1" si="36"/>
        <v>2.5.10.</v>
      </c>
      <c r="P137" s="148" t="s">
        <v>246</v>
      </c>
      <c r="Q137" s="149" t="s">
        <v>488</v>
      </c>
      <c r="R137" s="150" t="str">
        <f t="shared" ca="1" si="37"/>
        <v>ELETRODUTO RÍGIDO ROSCÁVEL, PVC, DN 25 MM (3/4"), PARA CIRCUITOS TERMINAIS, INSTALADO EM FORRO - FORNECIMENTO E INSTALAÇÃO. AF_12/2015</v>
      </c>
      <c r="S137" s="151" t="str">
        <f t="shared" ca="1" si="38"/>
        <v>M</v>
      </c>
      <c r="T137" s="152">
        <f ca="1">OFFSET(CÁLCULO!H$15,ROW($T137)-ROW(T$15),0)</f>
        <v>34</v>
      </c>
      <c r="U137" s="153">
        <v>8.58</v>
      </c>
      <c r="V137" s="154" t="s">
        <v>155</v>
      </c>
      <c r="W137" s="152">
        <f t="shared" ca="1" si="39"/>
        <v>10.93</v>
      </c>
      <c r="X137" s="155">
        <f t="shared" ca="1" si="40"/>
        <v>371.62</v>
      </c>
      <c r="Y137" s="156" t="s">
        <v>244</v>
      </c>
      <c r="Z137" t="str">
        <f t="shared" ca="1" si="41"/>
        <v>RA</v>
      </c>
      <c r="AA137" s="157">
        <f ca="1">IF($C137="S",IF($Z137="CP",$X137,IF($Z137="RA",(($X137)*QCI!$AA$3),0)),SomaAgrup)</f>
        <v>371.62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str">
        <f t="shared" ca="1" si="44"/>
        <v>SINAPI 91863</v>
      </c>
      <c r="AF137" s="160">
        <f t="shared" ca="1" si="45"/>
        <v>2471</v>
      </c>
      <c r="AG137" s="550">
        <f t="shared" ca="1" si="46"/>
        <v>8.58</v>
      </c>
      <c r="AH137" s="551">
        <f t="shared" ca="1" si="47"/>
        <v>0.27350000000000002</v>
      </c>
      <c r="AJ137" s="553">
        <v>34</v>
      </c>
      <c r="AL137" s="574"/>
      <c r="AM137" s="431">
        <f t="shared" ca="1" si="48"/>
        <v>371.62</v>
      </c>
      <c r="AN137" s="617">
        <f t="shared" ca="1" si="49"/>
        <v>10.93</v>
      </c>
    </row>
    <row r="138" spans="1:40" ht="25.5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11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>F</v>
      </c>
      <c r="M138" s="145" t="s">
        <v>198</v>
      </c>
      <c r="N138" s="146" t="str">
        <f t="shared" ca="1" si="35"/>
        <v>Serviço</v>
      </c>
      <c r="O138" s="147" t="str">
        <f t="shared" ca="1" si="36"/>
        <v>2.5.11.</v>
      </c>
      <c r="P138" s="148" t="s">
        <v>246</v>
      </c>
      <c r="Q138" s="149" t="s">
        <v>489</v>
      </c>
      <c r="R138" s="150" t="str">
        <f t="shared" ca="1" si="37"/>
        <v>RASGO EM ALVENARIA PARA ELETRODUTOS COM DIAMETROS MENORES OU IGUAIS A 40 MM. AF_05/2015</v>
      </c>
      <c r="S138" s="151" t="str">
        <f t="shared" ca="1" si="38"/>
        <v>M</v>
      </c>
      <c r="T138" s="152">
        <f ca="1">OFFSET(CÁLCULO!H$15,ROW($T138)-ROW(T$15),0)</f>
        <v>34</v>
      </c>
      <c r="U138" s="153">
        <v>5.44</v>
      </c>
      <c r="V138" s="154" t="s">
        <v>155</v>
      </c>
      <c r="W138" s="152">
        <f t="shared" ca="1" si="39"/>
        <v>6.93</v>
      </c>
      <c r="X138" s="155">
        <f t="shared" ca="1" si="40"/>
        <v>235.62</v>
      </c>
      <c r="Y138" s="156" t="s">
        <v>244</v>
      </c>
      <c r="Z138" t="str">
        <f t="shared" ca="1" si="41"/>
        <v>RA</v>
      </c>
      <c r="AA138" s="157">
        <f ca="1">IF($C138="S",IF($Z138="CP",$X138,IF($Z138="RA",(($X138)*QCI!$AA$3),0)),SomaAgrup)</f>
        <v>235.62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str">
        <f t="shared" ca="1" si="44"/>
        <v>SINAPI 90447</v>
      </c>
      <c r="AF138" s="160">
        <f t="shared" ca="1" si="45"/>
        <v>4637</v>
      </c>
      <c r="AG138" s="550">
        <f t="shared" ca="1" si="46"/>
        <v>5.44</v>
      </c>
      <c r="AH138" s="551">
        <f t="shared" ca="1" si="47"/>
        <v>0.27350000000000002</v>
      </c>
      <c r="AJ138" s="553">
        <v>34</v>
      </c>
      <c r="AL138" s="574"/>
      <c r="AM138" s="431">
        <f t="shared" ca="1" si="48"/>
        <v>235.62</v>
      </c>
      <c r="AN138" s="617">
        <f t="shared" ca="1" si="49"/>
        <v>6.93</v>
      </c>
    </row>
    <row r="139" spans="1:40" ht="25.5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12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>F</v>
      </c>
      <c r="M139" s="145" t="s">
        <v>198</v>
      </c>
      <c r="N139" s="146" t="str">
        <f t="shared" ca="1" si="35"/>
        <v>Serviço</v>
      </c>
      <c r="O139" s="147" t="str">
        <f t="shared" ca="1" si="36"/>
        <v>2.5.12.</v>
      </c>
      <c r="P139" s="148" t="s">
        <v>452</v>
      </c>
      <c r="Q139" s="149" t="s">
        <v>490</v>
      </c>
      <c r="R139" s="150" t="str">
        <f t="shared" ca="1" si="37"/>
        <v>ELETRODUTO PVC FLEXIVEL CORRUGADO, COR AMARELA, DE 20 MM</v>
      </c>
      <c r="S139" s="151" t="str">
        <f t="shared" ca="1" si="38"/>
        <v xml:space="preserve">M     </v>
      </c>
      <c r="T139" s="152">
        <f ca="1">OFFSET(CÁLCULO!H$15,ROW($T139)-ROW(T$15),0)</f>
        <v>58</v>
      </c>
      <c r="U139" s="153">
        <v>1.45</v>
      </c>
      <c r="V139" s="154" t="s">
        <v>155</v>
      </c>
      <c r="W139" s="152">
        <f t="shared" ca="1" si="39"/>
        <v>1.85</v>
      </c>
      <c r="X139" s="155">
        <f t="shared" ca="1" si="40"/>
        <v>107.3</v>
      </c>
      <c r="Y139" s="156" t="s">
        <v>244</v>
      </c>
      <c r="Z139" t="str">
        <f t="shared" ca="1" si="41"/>
        <v>RA</v>
      </c>
      <c r="AA139" s="157">
        <f ca="1">IF($C139="S",IF($Z139="CP",$X139,IF($Z139="RA",(($X139)*QCI!$AA$3),0)),SomaAgrup)</f>
        <v>107.3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str">
        <f t="shared" ca="1" si="44"/>
        <v>SINAPI-I 2689</v>
      </c>
      <c r="AF139" s="160">
        <f t="shared" ca="1" si="45"/>
        <v>8346</v>
      </c>
      <c r="AG139" s="550">
        <f t="shared" ca="1" si="46"/>
        <v>1.45</v>
      </c>
      <c r="AH139" s="551">
        <f t="shared" ca="1" si="47"/>
        <v>0.27350000000000002</v>
      </c>
      <c r="AJ139" s="553">
        <v>58</v>
      </c>
      <c r="AL139" s="574"/>
      <c r="AM139" s="431">
        <f t="shared" ca="1" si="48"/>
        <v>107.3</v>
      </c>
      <c r="AN139" s="617">
        <f t="shared" ca="1" si="49"/>
        <v>1.85</v>
      </c>
    </row>
    <row r="140" spans="1:40" ht="25.5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13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>F</v>
      </c>
      <c r="M140" s="145" t="s">
        <v>198</v>
      </c>
      <c r="N140" s="146" t="str">
        <f t="shared" ca="1" si="35"/>
        <v>Serviço</v>
      </c>
      <c r="O140" s="147" t="str">
        <f t="shared" ca="1" si="36"/>
        <v>2.5.13.</v>
      </c>
      <c r="P140" s="148" t="s">
        <v>246</v>
      </c>
      <c r="Q140" s="149" t="s">
        <v>491</v>
      </c>
      <c r="R140" s="150" t="str">
        <f t="shared" ca="1" si="37"/>
        <v>DISJUNTOR MONOPOLAR TIPO DIN, CORRENTE NOMINAL DE 25A - FORNECIMENTO E INSTALAÇÃO. AF_04/2016</v>
      </c>
      <c r="S140" s="151" t="str">
        <f t="shared" ca="1" si="38"/>
        <v>UN</v>
      </c>
      <c r="T140" s="152">
        <f ca="1">OFFSET(CÁLCULO!H$15,ROW($T140)-ROW(T$15),0)</f>
        <v>6</v>
      </c>
      <c r="U140" s="153">
        <v>12.6</v>
      </c>
      <c r="V140" s="154" t="s">
        <v>155</v>
      </c>
      <c r="W140" s="152">
        <f t="shared" ca="1" si="39"/>
        <v>16.05</v>
      </c>
      <c r="X140" s="155">
        <f t="shared" ca="1" si="40"/>
        <v>96.3</v>
      </c>
      <c r="Y140" s="156" t="s">
        <v>244</v>
      </c>
      <c r="Z140" t="str">
        <f t="shared" ca="1" si="41"/>
        <v>RA</v>
      </c>
      <c r="AA140" s="157">
        <f ca="1">IF($C140="S",IF($Z140="CP",$X140,IF($Z140="RA",(($X140)*QCI!$AA$3),0)),SomaAgrup)</f>
        <v>96.3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str">
        <f t="shared" ca="1" si="44"/>
        <v>SINAPI 93656</v>
      </c>
      <c r="AF140" s="160">
        <f t="shared" ca="1" si="45"/>
        <v>2688</v>
      </c>
      <c r="AG140" s="550">
        <f t="shared" ca="1" si="46"/>
        <v>12.6</v>
      </c>
      <c r="AH140" s="551">
        <f t="shared" ca="1" si="47"/>
        <v>0.27350000000000002</v>
      </c>
      <c r="AJ140" s="553">
        <v>6</v>
      </c>
      <c r="AL140" s="574"/>
      <c r="AM140" s="431">
        <f t="shared" ca="1" si="48"/>
        <v>96.3</v>
      </c>
      <c r="AN140" s="617">
        <f t="shared" ca="1" si="49"/>
        <v>16.05</v>
      </c>
    </row>
    <row r="141" spans="1:40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14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>F</v>
      </c>
      <c r="M141" s="145" t="s">
        <v>198</v>
      </c>
      <c r="N141" s="146" t="str">
        <f t="shared" ca="1" si="35"/>
        <v>Serviço</v>
      </c>
      <c r="O141" s="147" t="str">
        <f t="shared" ca="1" si="36"/>
        <v>2.5.14.</v>
      </c>
      <c r="P141" s="148" t="s">
        <v>452</v>
      </c>
      <c r="Q141" s="149" t="s">
        <v>519</v>
      </c>
      <c r="R141" s="150" t="str">
        <f t="shared" ca="1" si="37"/>
        <v>DISJUNTOR TIPO DIN/IEC, BIPOLAR DE 6 ATE 32A</v>
      </c>
      <c r="S141" s="151" t="str">
        <f t="shared" ca="1" si="38"/>
        <v xml:space="preserve">UN    </v>
      </c>
      <c r="T141" s="152">
        <f ca="1">OFFSET(CÁLCULO!H$15,ROW($T141)-ROW(T$15),0)</f>
        <v>1</v>
      </c>
      <c r="U141" s="153">
        <v>51.86</v>
      </c>
      <c r="V141" s="154" t="s">
        <v>155</v>
      </c>
      <c r="W141" s="152">
        <f t="shared" ca="1" si="39"/>
        <v>66.040000000000006</v>
      </c>
      <c r="X141" s="155">
        <f t="shared" ca="1" si="40"/>
        <v>66.040000000000006</v>
      </c>
      <c r="Y141" s="156" t="s">
        <v>244</v>
      </c>
      <c r="Z141" t="str">
        <f t="shared" ca="1" si="41"/>
        <v>RA</v>
      </c>
      <c r="AA141" s="157">
        <f ca="1">IF($C141="S",IF($Z141="CP",$X141,IF($Z141="RA",(($X141)*QCI!$AA$3),0)),SomaAgrup)</f>
        <v>66.040000000000006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str">
        <f t="shared" ca="1" si="44"/>
        <v>SINAPI-I 34616</v>
      </c>
      <c r="AF141" s="160">
        <f t="shared" ca="1" si="45"/>
        <v>8198</v>
      </c>
      <c r="AG141" s="550">
        <f t="shared" ca="1" si="46"/>
        <v>52.67</v>
      </c>
      <c r="AH141" s="551">
        <f t="shared" ca="1" si="47"/>
        <v>0.27350000000000002</v>
      </c>
      <c r="AJ141" s="553">
        <v>1</v>
      </c>
      <c r="AL141" s="574"/>
      <c r="AM141" s="431">
        <f t="shared" ca="1" si="48"/>
        <v>66.040000000000006</v>
      </c>
      <c r="AN141" s="617">
        <f t="shared" ca="1" si="49"/>
        <v>66.040000000000006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14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0.27350000000000002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x14ac:dyDescent="0.2">
      <c r="A143">
        <f t="shared" si="25"/>
        <v>2</v>
      </c>
      <c r="B143">
        <f t="shared" ca="1" si="26"/>
        <v>2</v>
      </c>
      <c r="C143">
        <f t="shared" ca="1" si="27"/>
        <v>2</v>
      </c>
      <c r="D143">
        <f t="shared" ca="1" si="28"/>
        <v>5</v>
      </c>
      <c r="E143">
        <f ca="1">IF($C143=1,OFFSET(E143,-1,0)+MAX(1,COUNTIF(QCI!$A$13:$A$24,OFFSET(ORÇAMENTO!E143,-1,0))),OFFSET(E143,-1,0))</f>
        <v>2</v>
      </c>
      <c r="F143">
        <f t="shared" ca="1" si="29"/>
        <v>6</v>
      </c>
      <c r="G143">
        <f t="shared" ca="1" si="30"/>
        <v>0</v>
      </c>
      <c r="H143">
        <f t="shared" ca="1" si="31"/>
        <v>0</v>
      </c>
      <c r="I143">
        <f t="shared" ca="1" si="32"/>
        <v>0</v>
      </c>
      <c r="J143">
        <f t="shared" ca="1" si="33"/>
        <v>5</v>
      </c>
      <c r="K143">
        <f ca="1">IF(OR($C143="S",$C143=0),0,MATCH(OFFSET($D143,0,$C143)+IF($C143&lt;&gt;1,1,COUNTIF(QCI!$A$13:$A$24,ORÇAMENTO!E143)),OFFSET($D143,1,$C143,ROW($C$266)-ROW($C143)),0))</f>
        <v>69</v>
      </c>
      <c r="L143" s="144" t="str">
        <f t="shared" ca="1" si="34"/>
        <v>F</v>
      </c>
      <c r="M143" s="145" t="s">
        <v>195</v>
      </c>
      <c r="N143" s="146" t="str">
        <f t="shared" ca="1" si="35"/>
        <v>Nível 2</v>
      </c>
      <c r="O143" s="147" t="str">
        <f t="shared" ca="1" si="36"/>
        <v>2.6.</v>
      </c>
      <c r="P143" s="148" t="s">
        <v>246</v>
      </c>
      <c r="Q143" s="149"/>
      <c r="R143" s="150" t="str">
        <f ca="1">IF($C143="S",REFERENCIA.Descricao,"(COBERTURA ALUZINCO)")</f>
        <v>(COBERTURA ALUZINCO)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4515.07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4515.07</v>
      </c>
      <c r="AB143" s="158">
        <f t="shared" ca="1" si="42"/>
        <v>0</v>
      </c>
      <c r="AC143" s="159" t="str">
        <f t="shared" ca="1" si="43"/>
        <v/>
      </c>
      <c r="AD143" s="105">
        <f ca="1">IF(C143&lt;=CRONO.NivelExibicao,MAX($AD$15:OFFSET(AD143,-1,0))+IF($C143&lt;&gt;1,1,MAX(1,COUNTIF(QCI!$A$13:$A$24,OFFSET($E143,-1,0)))),"")</f>
        <v>14</v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0.27350000000000002</v>
      </c>
      <c r="AJ143" s="553"/>
      <c r="AL143" s="574"/>
      <c r="AM143" s="431">
        <f t="shared" ca="1" si="48"/>
        <v>4515.07</v>
      </c>
      <c r="AN143" s="617">
        <f t="shared" ca="1" si="49"/>
        <v>0</v>
      </c>
    </row>
    <row r="144" spans="1:40" ht="25.5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6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>F</v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2.6.1.</v>
      </c>
      <c r="P144" s="148" t="s">
        <v>246</v>
      </c>
      <c r="Q144" s="149" t="s">
        <v>520</v>
      </c>
      <c r="R144" s="150" t="str">
        <f t="shared" ref="R144:R207" ca="1" si="62">IF($C144="S",REFERENCIA.Descricao,"(digite a descrição aqui)")</f>
        <v>TELHAMENTO COM TELHA DE AÇO/ALUMÍNIO E = 0,5 MM, COM ATÉ 2 ÁGUAS, INCLUSO IÇAMENTO. AF_07/2019</v>
      </c>
      <c r="S144" s="151" t="str">
        <f t="shared" ref="S144:S207" ca="1" si="63">REFERENCIA.Unidade</f>
        <v>M2</v>
      </c>
      <c r="T144" s="152">
        <f ca="1">OFFSET(CÁLCULO!H$15,ROW($T144)-ROW(T$15),0)</f>
        <v>29</v>
      </c>
      <c r="U144" s="153">
        <v>51.15</v>
      </c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65.14</v>
      </c>
      <c r="X144" s="155">
        <f t="shared" ref="X144:X207" ca="1" si="65">IF($C144="S",VTOTAL1,IF($C144=0,0,ROUND(SomaAgrup,15-13*$AF$11)))</f>
        <v>1889.06</v>
      </c>
      <c r="Y144" s="156" t="s">
        <v>244</v>
      </c>
      <c r="Z144" t="str">
        <f t="shared" ref="Z144:Z207" ca="1" si="66">IF(AND($C144="S",$X144&gt;0),IF(ISBLANK($Y144),"RA",LEFT($Y144,2)),"")</f>
        <v>RA</v>
      </c>
      <c r="AA144" s="157">
        <f ca="1">IF($C144="S",IF($Z144="CP",$X144,IF($Z144="RA",(($X144)*QCI!$AA$3),0)),SomaAgrup)</f>
        <v>1889.06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str">
        <f t="shared" ref="AE144:AE207" ca="1" si="69">IF(AND($C144="S",ORÇAMENTO.CodBarra&lt;&gt;""),IF(ORÇAMENTO.Fonte="",ORÇAMENTO.CodBarra,CONCATENATE(ORÇAMENTO.Fonte," ",ORÇAMENTO.CodBarra)))</f>
        <v>SINAPI 94213</v>
      </c>
      <c r="AF144" s="160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1260</v>
      </c>
      <c r="AG144" s="550">
        <f t="shared" ref="AG144:AG207" ca="1" si="71">ROUND(IF(DESONERACAO="sim",REFERENCIA.Desonerado,REFERENCIA.NaoDesonerado),2)</f>
        <v>51.15</v>
      </c>
      <c r="AH144" s="551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53">
        <v>29</v>
      </c>
      <c r="AL144" s="574"/>
      <c r="AM144" s="431">
        <f t="shared" ref="AM144:AM207" ca="1" si="73">$X144</f>
        <v>1889.06</v>
      </c>
      <c r="AN144" s="617">
        <f t="shared" ref="AN144:AN207" ca="1" si="74">ROUND(ORÇAMENTO.CustoUnitario*(1+$AH144),2)</f>
        <v>65.14</v>
      </c>
    </row>
    <row r="145" spans="1:40" ht="25.5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6</v>
      </c>
      <c r="G145">
        <f t="shared" ca="1" si="55"/>
        <v>0</v>
      </c>
      <c r="H145">
        <f t="shared" ca="1" si="56"/>
        <v>0</v>
      </c>
      <c r="I145">
        <f t="shared" ca="1" si="57"/>
        <v>2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>F</v>
      </c>
      <c r="M145" s="145" t="s">
        <v>198</v>
      </c>
      <c r="N145" s="146" t="str">
        <f t="shared" ca="1" si="60"/>
        <v>Serviço</v>
      </c>
      <c r="O145" s="147" t="str">
        <f t="shared" ca="1" si="61"/>
        <v>2.6.2.</v>
      </c>
      <c r="P145" s="148" t="s">
        <v>452</v>
      </c>
      <c r="Q145" s="149" t="s">
        <v>521</v>
      </c>
      <c r="R145" s="150" t="str">
        <f t="shared" ca="1" si="62"/>
        <v>TUBO ACO CARBONO COM COSTURA, NBR 5580, CLASSE L, DN = 40 MM, E = 3,0 MM, 3,34 KG/M</v>
      </c>
      <c r="S145" s="151" t="str">
        <f t="shared" ca="1" si="63"/>
        <v xml:space="preserve">M     </v>
      </c>
      <c r="T145" s="152">
        <f ca="1">OFFSET(CÁLCULO!H$15,ROW($T145)-ROW(T$15),0)</f>
        <v>32</v>
      </c>
      <c r="U145" s="153">
        <v>15.5</v>
      </c>
      <c r="V145" s="154" t="s">
        <v>155</v>
      </c>
      <c r="W145" s="152">
        <f t="shared" ca="1" si="64"/>
        <v>19.739999999999998</v>
      </c>
      <c r="X145" s="155">
        <f t="shared" ca="1" si="65"/>
        <v>631.67999999999995</v>
      </c>
      <c r="Y145" s="156" t="s">
        <v>244</v>
      </c>
      <c r="Z145" t="str">
        <f t="shared" ca="1" si="66"/>
        <v>RA</v>
      </c>
      <c r="AA145" s="157">
        <f ca="1">IF($C145="S",IF($Z145="CP",$X145,IF($Z145="RA",(($X145)*QCI!$AA$3),0)),SomaAgrup)</f>
        <v>631.67999999999995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str">
        <f t="shared" ca="1" si="69"/>
        <v>SINAPI-I 21003</v>
      </c>
      <c r="AF145" s="160">
        <f t="shared" ca="1" si="70"/>
        <v>11094</v>
      </c>
      <c r="AG145" s="550">
        <f t="shared" ca="1" si="71"/>
        <v>17.940000000000001</v>
      </c>
      <c r="AH145" s="551">
        <f t="shared" ca="1" si="72"/>
        <v>0.27350000000000002</v>
      </c>
      <c r="AJ145" s="553">
        <v>32</v>
      </c>
      <c r="AL145" s="574"/>
      <c r="AM145" s="431">
        <f t="shared" ca="1" si="73"/>
        <v>631.67999999999995</v>
      </c>
      <c r="AN145" s="617">
        <f t="shared" ca="1" si="74"/>
        <v>19.739999999999998</v>
      </c>
    </row>
    <row r="146" spans="1:40" ht="25.5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6</v>
      </c>
      <c r="G146">
        <f t="shared" ca="1" si="55"/>
        <v>0</v>
      </c>
      <c r="H146">
        <f t="shared" ca="1" si="56"/>
        <v>0</v>
      </c>
      <c r="I146">
        <f t="shared" ca="1" si="57"/>
        <v>3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>F</v>
      </c>
      <c r="M146" s="145" t="s">
        <v>198</v>
      </c>
      <c r="N146" s="146" t="str">
        <f t="shared" ca="1" si="60"/>
        <v>Serviço</v>
      </c>
      <c r="O146" s="147" t="str">
        <f t="shared" ca="1" si="61"/>
        <v>2.6.3.</v>
      </c>
      <c r="P146" s="148" t="s">
        <v>528</v>
      </c>
      <c r="Q146" s="149" t="s">
        <v>540</v>
      </c>
      <c r="R146" s="150" t="str">
        <f t="shared" ca="1" si="62"/>
        <v>ESTRUTURA METÁLICA PARA COBERTURA EM ALUZINCO (PILARES E TESOURA) VÃO 8M, EM VIGA U</v>
      </c>
      <c r="S146" s="151" t="str">
        <f t="shared" ca="1" si="63"/>
        <v>M2</v>
      </c>
      <c r="T146" s="152">
        <f ca="1">OFFSET(CÁLCULO!H$15,ROW($T146)-ROW(T$15),0)</f>
        <v>29</v>
      </c>
      <c r="U146" s="153">
        <v>54</v>
      </c>
      <c r="V146" s="154" t="s">
        <v>155</v>
      </c>
      <c r="W146" s="152">
        <f t="shared" ca="1" si="64"/>
        <v>68.77</v>
      </c>
      <c r="X146" s="155">
        <f t="shared" ca="1" si="65"/>
        <v>1994.33</v>
      </c>
      <c r="Y146" s="156" t="s">
        <v>244</v>
      </c>
      <c r="Z146" t="str">
        <f t="shared" ca="1" si="66"/>
        <v>RA</v>
      </c>
      <c r="AA146" s="157">
        <f ca="1">IF($C146="S",IF($Z146="CP",$X146,IF($Z146="RA",(($X146)*QCI!$AA$3),0)),SomaAgrup)</f>
        <v>1994.33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str">
        <f t="shared" ca="1" si="69"/>
        <v>Cotação 007</v>
      </c>
      <c r="AF146" s="160">
        <f t="shared" ca="1" si="70"/>
        <v>24</v>
      </c>
      <c r="AG146" s="550">
        <f t="shared" ca="1" si="71"/>
        <v>75</v>
      </c>
      <c r="AH146" s="551">
        <f t="shared" ca="1" si="72"/>
        <v>0.27350000000000002</v>
      </c>
      <c r="AJ146" s="553">
        <v>29</v>
      </c>
      <c r="AL146" s="574"/>
      <c r="AM146" s="431">
        <f t="shared" ca="1" si="73"/>
        <v>1994.33</v>
      </c>
      <c r="AN146" s="617">
        <f t="shared" ca="1" si="74"/>
        <v>68.77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6</v>
      </c>
      <c r="G147">
        <f t="shared" ca="1" si="55"/>
        <v>0</v>
      </c>
      <c r="H147">
        <f t="shared" ca="1" si="56"/>
        <v>0</v>
      </c>
      <c r="I147">
        <f t="shared" ca="1" si="57"/>
        <v>3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0.27350000000000002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x14ac:dyDescent="0.2">
      <c r="A148">
        <f t="shared" si="50"/>
        <v>1</v>
      </c>
      <c r="B148">
        <f t="shared" ca="1" si="51"/>
        <v>1</v>
      </c>
      <c r="C148">
        <f t="shared" ca="1" si="52"/>
        <v>1</v>
      </c>
      <c r="D148">
        <f t="shared" ca="1" si="53"/>
        <v>74</v>
      </c>
      <c r="E148">
        <f ca="1">IF($C148=1,OFFSET(E148,-1,0)+MAX(1,COUNTIF(QCI!$A$13:$A$24,OFFSET(ORÇAMENTO!E148,-1,0))),OFFSET(E148,-1,0))</f>
        <v>3</v>
      </c>
      <c r="F148">
        <f t="shared" ca="1" si="54"/>
        <v>0</v>
      </c>
      <c r="G148">
        <f t="shared" ca="1" si="55"/>
        <v>0</v>
      </c>
      <c r="H148">
        <f t="shared" ca="1" si="56"/>
        <v>0</v>
      </c>
      <c r="I148">
        <f t="shared" ca="1" si="57"/>
        <v>0</v>
      </c>
      <c r="J148">
        <f t="shared" ca="1" si="58"/>
        <v>118</v>
      </c>
      <c r="K148">
        <f ca="1">IF(OR($C148="S",$C148=0),0,MATCH(OFFSET($D148,0,$C148)+IF($C148&lt;&gt;1,1,COUNTIF(QCI!$A$13:$A$24,ORÇAMENTO!E148)),OFFSET($D148,1,$C148,ROW($C$266)-ROW($C148)),0))</f>
        <v>74</v>
      </c>
      <c r="L148" s="144" t="str">
        <f t="shared" ca="1" si="59"/>
        <v>F</v>
      </c>
      <c r="M148" s="145" t="s">
        <v>194</v>
      </c>
      <c r="N148" s="146" t="str">
        <f t="shared" ca="1" si="60"/>
        <v>Meta</v>
      </c>
      <c r="O148" s="147" t="str">
        <f t="shared" ca="1" si="61"/>
        <v>3.</v>
      </c>
      <c r="P148" s="148" t="s">
        <v>246</v>
      </c>
      <c r="Q148" s="149"/>
      <c r="R148" s="150" t="str">
        <f ca="1">IF($C148="S",REFERENCIA.Descricao,"(COZINHA)")</f>
        <v>(COZINHA)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36338.35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36338.349999999984</v>
      </c>
      <c r="AB148" s="158">
        <f t="shared" ca="1" si="67"/>
        <v>0</v>
      </c>
      <c r="AC148" s="159" t="str">
        <f t="shared" ca="1" si="68"/>
        <v/>
      </c>
      <c r="AD148" s="105">
        <f ca="1">IF(C148&lt;=CRONO.NivelExibicao,MAX($AD$15:OFFSET(AD148,-1,0))+IF($C148&lt;&gt;1,1,MAX(1,COUNTIF(QCI!$A$13:$A$24,OFFSET($E148,-1,0)))),"")</f>
        <v>15</v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0.27350000000000002</v>
      </c>
      <c r="AJ148" s="553"/>
      <c r="AL148" s="574"/>
      <c r="AM148" s="431">
        <f t="shared" ca="1" si="73"/>
        <v>36338.35</v>
      </c>
      <c r="AN148" s="617">
        <f t="shared" ca="1" si="74"/>
        <v>0</v>
      </c>
    </row>
    <row r="149" spans="1:40" x14ac:dyDescent="0.2">
      <c r="A149" t="str">
        <f t="shared" si="50"/>
        <v>S</v>
      </c>
      <c r="B149">
        <f t="shared" ca="1" si="51"/>
        <v>2</v>
      </c>
      <c r="C149">
        <f t="shared" ca="1" si="52"/>
        <v>2</v>
      </c>
      <c r="D149">
        <f t="shared" ca="1" si="53"/>
        <v>10</v>
      </c>
      <c r="E149">
        <f ca="1">IF($C149=1,OFFSET(E149,-1,0)+MAX(1,COUNTIF(QCI!$A$13:$A$24,OFFSET(ORÇAMENTO!E149,-1,0))),OFFSET(E149,-1,0))</f>
        <v>3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0</v>
      </c>
      <c r="J149">
        <f t="shared" ca="1" si="58"/>
        <v>73</v>
      </c>
      <c r="K149">
        <f ca="1">IF(OR($C149="S",$C149=0),0,MATCH(OFFSET($D149,0,$C149)+IF($C149&lt;&gt;1,1,COUNTIF(QCI!$A$13:$A$24,ORÇAMENTO!E149)),OFFSET($D149,1,$C149,ROW($C$266)-ROW($C149)),0))</f>
        <v>10</v>
      </c>
      <c r="L149" s="144" t="str">
        <f t="shared" ca="1" si="59"/>
        <v>F</v>
      </c>
      <c r="M149" s="145" t="s">
        <v>198</v>
      </c>
      <c r="N149" s="146" t="str">
        <f t="shared" ca="1" si="60"/>
        <v>Nível 2</v>
      </c>
      <c r="O149" s="147" t="str">
        <f t="shared" ca="1" si="61"/>
        <v>3.1.</v>
      </c>
      <c r="P149" s="148" t="s">
        <v>246</v>
      </c>
      <c r="Q149" s="149"/>
      <c r="R149" s="150" t="str">
        <f ca="1">IF($C149="S",REFERENCIA.Descricao,"(FUNDAÇÕES RASAS, VIGA BALDRAME, PILARES, VIGAS)")</f>
        <v>(FUNDAÇÕES RASAS, VIGA BALDRAME, PILARES, VIGAS)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3655.4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3655.4000000000005</v>
      </c>
      <c r="AB149" s="158">
        <f t="shared" ca="1" si="67"/>
        <v>0</v>
      </c>
      <c r="AC149" s="159" t="str">
        <f t="shared" ca="1" si="68"/>
        <v/>
      </c>
      <c r="AD149" s="105">
        <f ca="1">IF(C149&lt;=CRONO.NivelExibicao,MAX($AD$15:OFFSET(AD149,-1,0))+IF($C149&lt;&gt;1,1,MAX(1,COUNTIF(QCI!$A$13:$A$24,OFFSET($E149,-1,0)))),"")</f>
        <v>16</v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0.27350000000000002</v>
      </c>
      <c r="AJ149" s="553"/>
      <c r="AL149" s="574"/>
      <c r="AM149" s="431">
        <f t="shared" ca="1" si="73"/>
        <v>3655.4</v>
      </c>
      <c r="AN149" s="617">
        <f t="shared" ca="1" si="74"/>
        <v>0</v>
      </c>
    </row>
    <row r="150" spans="1:40" ht="25.5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3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>F</v>
      </c>
      <c r="M150" s="145" t="s">
        <v>198</v>
      </c>
      <c r="N150" s="146" t="str">
        <f t="shared" ca="1" si="60"/>
        <v>Serviço</v>
      </c>
      <c r="O150" s="147" t="str">
        <f t="shared" ca="1" si="61"/>
        <v>3.1.1.</v>
      </c>
      <c r="P150" s="148" t="s">
        <v>452</v>
      </c>
      <c r="Q150" s="658" t="s">
        <v>460</v>
      </c>
      <c r="R150" s="150" t="str">
        <f t="shared" ca="1" si="62"/>
        <v>TABUA DE MADEIRA NAO APARELHADA *2,5 X 30* CM, CEDRINHO OU EQUIVALENTE DA REGIAO</v>
      </c>
      <c r="S150" s="151" t="str">
        <f t="shared" ca="1" si="63"/>
        <v xml:space="preserve">M     </v>
      </c>
      <c r="T150" s="152">
        <f ca="1">OFFSET(CÁLCULO!H$15,ROW($T150)-ROW(T$15),0)</f>
        <v>12</v>
      </c>
      <c r="U150" s="153">
        <v>12.26</v>
      </c>
      <c r="V150" s="154" t="s">
        <v>155</v>
      </c>
      <c r="W150" s="152">
        <f t="shared" ca="1" si="64"/>
        <v>15.61</v>
      </c>
      <c r="X150" s="155">
        <f t="shared" ca="1" si="65"/>
        <v>187.32</v>
      </c>
      <c r="Y150" s="156" t="s">
        <v>244</v>
      </c>
      <c r="Z150" t="str">
        <f t="shared" ca="1" si="66"/>
        <v>RA</v>
      </c>
      <c r="AA150" s="157">
        <f ca="1">IF($C150="S",IF($Z150="CP",$X150,IF($Z150="RA",(($X150)*QCI!$AA$3),0)),SomaAgrup)</f>
        <v>187.32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str">
        <f t="shared" ca="1" si="69"/>
        <v>SINAPI-I 6189</v>
      </c>
      <c r="AF150" s="160">
        <f t="shared" ca="1" si="70"/>
        <v>10565</v>
      </c>
      <c r="AG150" s="550">
        <f t="shared" ca="1" si="71"/>
        <v>12.26</v>
      </c>
      <c r="AH150" s="551">
        <f t="shared" ca="1" si="72"/>
        <v>0.27350000000000002</v>
      </c>
      <c r="AJ150" s="553">
        <v>12</v>
      </c>
      <c r="AL150" s="574"/>
      <c r="AM150" s="431">
        <f t="shared" ca="1" si="73"/>
        <v>187.32</v>
      </c>
      <c r="AN150" s="617">
        <f t="shared" ca="1" si="74"/>
        <v>15.61</v>
      </c>
    </row>
    <row r="151" spans="1:40" ht="5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3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2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>F</v>
      </c>
      <c r="M151" s="145" t="s">
        <v>198</v>
      </c>
      <c r="N151" s="146" t="str">
        <f t="shared" ca="1" si="60"/>
        <v>Serviço</v>
      </c>
      <c r="O151" s="147" t="str">
        <f t="shared" ca="1" si="61"/>
        <v>3.1.2.</v>
      </c>
      <c r="P151" s="148" t="s">
        <v>246</v>
      </c>
      <c r="Q151" s="658" t="s">
        <v>509</v>
      </c>
      <c r="R151" s="150" t="str">
        <f t="shared" ca="1" si="62"/>
        <v>ALVENARIA DE VEDAÇÃO DE BLOCOS CERÂMICOS FURADOS NA VERTICAL DE 14X19X39CM (ESPESSURA 14CM) DE PAREDES COM ÁREA LÍQUIDA MENOR QUE 6M² SEM VÃOS E ARGAMASSA DE ASSENTAMENTO COM PREPARO EM BETONEIRA. AF_06/2014</v>
      </c>
      <c r="S151" s="151" t="str">
        <f t="shared" ca="1" si="63"/>
        <v>M2</v>
      </c>
      <c r="T151" s="152">
        <f ca="1">OFFSET(CÁLCULO!H$15,ROW($T151)-ROW(T$15),0)</f>
        <v>22.54</v>
      </c>
      <c r="U151" s="153">
        <v>51.82</v>
      </c>
      <c r="V151" s="154" t="s">
        <v>155</v>
      </c>
      <c r="W151" s="152">
        <f t="shared" ca="1" si="64"/>
        <v>65.989999999999995</v>
      </c>
      <c r="X151" s="155">
        <f t="shared" ca="1" si="65"/>
        <v>1487.41</v>
      </c>
      <c r="Y151" s="156" t="s">
        <v>244</v>
      </c>
      <c r="Z151" t="str">
        <f t="shared" ca="1" si="66"/>
        <v>RA</v>
      </c>
      <c r="AA151" s="157">
        <f ca="1">IF($C151="S",IF($Z151="CP",$X151,IF($Z151="RA",(($X151)*QCI!$AA$3),0)),SomaAgrup)</f>
        <v>1487.41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str">
        <f t="shared" ca="1" si="69"/>
        <v>SINAPI 87473</v>
      </c>
      <c r="AF151" s="160">
        <f t="shared" ca="1" si="70"/>
        <v>4912</v>
      </c>
      <c r="AG151" s="550">
        <f t="shared" ca="1" si="71"/>
        <v>51.82</v>
      </c>
      <c r="AH151" s="551">
        <f t="shared" ca="1" si="72"/>
        <v>0.27350000000000002</v>
      </c>
      <c r="AJ151" s="553">
        <v>22.54</v>
      </c>
      <c r="AL151" s="574"/>
      <c r="AM151" s="431">
        <f t="shared" ca="1" si="73"/>
        <v>1487.41</v>
      </c>
      <c r="AN151" s="617">
        <f t="shared" ca="1" si="74"/>
        <v>65.989999999999995</v>
      </c>
    </row>
    <row r="152" spans="1:40" ht="25.5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3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3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>F</v>
      </c>
      <c r="M152" s="145" t="s">
        <v>198</v>
      </c>
      <c r="N152" s="146" t="str">
        <f t="shared" ca="1" si="60"/>
        <v>Serviço</v>
      </c>
      <c r="O152" s="147" t="str">
        <f t="shared" ca="1" si="61"/>
        <v>3.1.3.</v>
      </c>
      <c r="P152" s="148" t="s">
        <v>246</v>
      </c>
      <c r="Q152" s="658" t="s">
        <v>455</v>
      </c>
      <c r="R152" s="150" t="str">
        <f t="shared" ca="1" si="62"/>
        <v>ESCAVACAO MECANICA CAMPO ABERTO EM SOLO EXCETO ROCHA ATE 2,00M PROFUNDIDADE</v>
      </c>
      <c r="S152" s="151" t="str">
        <f t="shared" ca="1" si="63"/>
        <v>M3</v>
      </c>
      <c r="T152" s="152">
        <f ca="1">OFFSET(CÁLCULO!H$15,ROW($T152)-ROW(T$15),0)</f>
        <v>5</v>
      </c>
      <c r="U152" s="153">
        <v>1.96</v>
      </c>
      <c r="V152" s="154" t="s">
        <v>155</v>
      </c>
      <c r="W152" s="152">
        <f t="shared" ca="1" si="64"/>
        <v>2.5</v>
      </c>
      <c r="X152" s="155">
        <f t="shared" ca="1" si="65"/>
        <v>12.5</v>
      </c>
      <c r="Y152" s="156" t="s">
        <v>244</v>
      </c>
      <c r="Z152" t="str">
        <f t="shared" ca="1" si="66"/>
        <v>RA</v>
      </c>
      <c r="AA152" s="157">
        <f ca="1">IF($C152="S",IF($Z152="CP",$X152,IF($Z152="RA",(($X152)*QCI!$AA$3),0)),SomaAgrup)</f>
        <v>12.5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str">
        <f t="shared" ca="1" si="69"/>
        <v>SINAPI 79480</v>
      </c>
      <c r="AF152" s="160">
        <f t="shared" ca="1" si="70"/>
        <v>4723</v>
      </c>
      <c r="AG152" s="550">
        <f t="shared" ca="1" si="71"/>
        <v>1.96</v>
      </c>
      <c r="AH152" s="551">
        <f t="shared" ca="1" si="72"/>
        <v>0.27350000000000002</v>
      </c>
      <c r="AJ152" s="553">
        <v>5</v>
      </c>
      <c r="AL152" s="574"/>
      <c r="AM152" s="431">
        <f t="shared" ca="1" si="73"/>
        <v>12.5</v>
      </c>
      <c r="AN152" s="617">
        <f t="shared" ca="1" si="74"/>
        <v>2.5</v>
      </c>
    </row>
    <row r="153" spans="1:40" ht="25.5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3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4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>F</v>
      </c>
      <c r="M153" s="145" t="s">
        <v>198</v>
      </c>
      <c r="N153" s="146" t="str">
        <f t="shared" ca="1" si="60"/>
        <v>Serviço</v>
      </c>
      <c r="O153" s="147" t="str">
        <f t="shared" ca="1" si="61"/>
        <v>3.1.4.</v>
      </c>
      <c r="P153" s="148" t="s">
        <v>246</v>
      </c>
      <c r="Q153" s="658" t="s">
        <v>456</v>
      </c>
      <c r="R153" s="150" t="str">
        <f t="shared" ca="1" si="62"/>
        <v>CONCRETO FCK = 20MPA, TRAÇO 1:2,7:3 (CIMENTO/ AREIA MÉDIA/ BRITA 1)  - PREPARO MECÂNICO COM BETONEIRA 400 L. AF_07/2016</v>
      </c>
      <c r="S153" s="151" t="str">
        <f t="shared" ca="1" si="63"/>
        <v>M3</v>
      </c>
      <c r="T153" s="152">
        <f ca="1">OFFSET(CÁLCULO!H$15,ROW($T153)-ROW(T$15),0)</f>
        <v>1.26</v>
      </c>
      <c r="U153" s="153">
        <v>286.67</v>
      </c>
      <c r="V153" s="154" t="s">
        <v>155</v>
      </c>
      <c r="W153" s="152">
        <f t="shared" ca="1" si="64"/>
        <v>365.07</v>
      </c>
      <c r="X153" s="155">
        <f t="shared" ca="1" si="65"/>
        <v>459.99</v>
      </c>
      <c r="Y153" s="156" t="s">
        <v>244</v>
      </c>
      <c r="Z153" t="str">
        <f t="shared" ca="1" si="66"/>
        <v>RA</v>
      </c>
      <c r="AA153" s="157">
        <f ca="1">IF($C153="S",IF($Z153="CP",$X153,IF($Z153="RA",(($X153)*QCI!$AA$3),0)),SomaAgrup)</f>
        <v>459.99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str">
        <f t="shared" ca="1" si="69"/>
        <v>SINAPI 94964</v>
      </c>
      <c r="AF153" s="160">
        <f t="shared" ca="1" si="70"/>
        <v>2307</v>
      </c>
      <c r="AG153" s="550">
        <f t="shared" ca="1" si="71"/>
        <v>286.67</v>
      </c>
      <c r="AH153" s="551">
        <f t="shared" ca="1" si="72"/>
        <v>0.27350000000000002</v>
      </c>
      <c r="AJ153" s="553">
        <v>1.26</v>
      </c>
      <c r="AL153" s="574"/>
      <c r="AM153" s="431">
        <f t="shared" ca="1" si="73"/>
        <v>459.99</v>
      </c>
      <c r="AN153" s="617">
        <f t="shared" ca="1" si="74"/>
        <v>365.07</v>
      </c>
    </row>
    <row r="154" spans="1:40" ht="25.5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3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5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>F</v>
      </c>
      <c r="M154" s="145" t="s">
        <v>198</v>
      </c>
      <c r="N154" s="146" t="str">
        <f t="shared" ca="1" si="60"/>
        <v>Serviço</v>
      </c>
      <c r="O154" s="147" t="str">
        <f t="shared" ca="1" si="61"/>
        <v>3.1.5.</v>
      </c>
      <c r="P154" s="148" t="s">
        <v>246</v>
      </c>
      <c r="Q154" s="658" t="s">
        <v>522</v>
      </c>
      <c r="R154" s="150" t="str">
        <f t="shared" ca="1" si="62"/>
        <v>DEMOLIÇÃO DE ALVENARIA DE BLOCO FURADO, DE FORMA MANUAL, SEM REAPROVEITAMENTO. AF_12/2017</v>
      </c>
      <c r="S154" s="151" t="str">
        <f t="shared" ca="1" si="63"/>
        <v>M3</v>
      </c>
      <c r="T154" s="152">
        <f ca="1">OFFSET(CÁLCULO!H$15,ROW($T154)-ROW(T$15),0)</f>
        <v>1.5</v>
      </c>
      <c r="U154" s="153">
        <v>45.22</v>
      </c>
      <c r="V154" s="154" t="s">
        <v>155</v>
      </c>
      <c r="W154" s="152">
        <f t="shared" ca="1" si="64"/>
        <v>57.59</v>
      </c>
      <c r="X154" s="155">
        <f t="shared" ca="1" si="65"/>
        <v>86.39</v>
      </c>
      <c r="Y154" s="156" t="s">
        <v>244</v>
      </c>
      <c r="Z154" t="str">
        <f t="shared" ca="1" si="66"/>
        <v>RA</v>
      </c>
      <c r="AA154" s="157">
        <f ca="1">IF($C154="S",IF($Z154="CP",$X154,IF($Z154="RA",(($X154)*QCI!$AA$3),0)),SomaAgrup)</f>
        <v>86.39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str">
        <f t="shared" ca="1" si="69"/>
        <v>SINAPI 97622</v>
      </c>
      <c r="AF154" s="160">
        <f t="shared" ca="1" si="70"/>
        <v>5939</v>
      </c>
      <c r="AG154" s="550">
        <f t="shared" ca="1" si="71"/>
        <v>45.22</v>
      </c>
      <c r="AH154" s="551">
        <f t="shared" ca="1" si="72"/>
        <v>0.27350000000000002</v>
      </c>
      <c r="AJ154" s="553">
        <v>1.5</v>
      </c>
      <c r="AL154" s="574"/>
      <c r="AM154" s="431">
        <f t="shared" ca="1" si="73"/>
        <v>86.39</v>
      </c>
      <c r="AN154" s="617">
        <f t="shared" ca="1" si="74"/>
        <v>57.59</v>
      </c>
    </row>
    <row r="155" spans="1:40" ht="5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3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6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>F</v>
      </c>
      <c r="M155" s="145" t="s">
        <v>198</v>
      </c>
      <c r="N155" s="146" t="str">
        <f t="shared" ca="1" si="60"/>
        <v>Serviço</v>
      </c>
      <c r="O155" s="147" t="str">
        <f t="shared" ca="1" si="61"/>
        <v>3.1.6.</v>
      </c>
      <c r="P155" s="148" t="s">
        <v>246</v>
      </c>
      <c r="Q155" s="658" t="s">
        <v>457</v>
      </c>
      <c r="R155" s="150" t="str">
        <f t="shared" ca="1" si="62"/>
        <v>ARMAÇÃO DE PILAR OU VIGA DE UMA ESTRUTURA CONVENCIONAL DE CONCRETO ARMADO EM UM EDIFÍCIO DE MÚLTIPLOS PAVIMENTOS UTILIZANDO AÇO CA-50 DE 6,3 MM - MONTAGEM. AF_12/2015</v>
      </c>
      <c r="S155" s="151" t="str">
        <f t="shared" ca="1" si="63"/>
        <v>KG</v>
      </c>
      <c r="T155" s="152">
        <f ca="1">OFFSET(CÁLCULO!H$15,ROW($T155)-ROW(T$15),0)</f>
        <v>26</v>
      </c>
      <c r="U155" s="153">
        <v>9.2200000000000006</v>
      </c>
      <c r="V155" s="154" t="s">
        <v>155</v>
      </c>
      <c r="W155" s="152">
        <f t="shared" ca="1" si="64"/>
        <v>11.74</v>
      </c>
      <c r="X155" s="155">
        <f t="shared" ca="1" si="65"/>
        <v>305.24</v>
      </c>
      <c r="Y155" s="156" t="s">
        <v>244</v>
      </c>
      <c r="Z155" t="str">
        <f t="shared" ca="1" si="66"/>
        <v>RA</v>
      </c>
      <c r="AA155" s="157">
        <f ca="1">IF($C155="S",IF($Z155="CP",$X155,IF($Z155="RA",(($X155)*QCI!$AA$3),0)),SomaAgrup)</f>
        <v>305.24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str">
        <f t="shared" ca="1" si="69"/>
        <v>SINAPI 92760</v>
      </c>
      <c r="AF155" s="160">
        <f t="shared" ca="1" si="70"/>
        <v>2153</v>
      </c>
      <c r="AG155" s="550">
        <f t="shared" ca="1" si="71"/>
        <v>9.2200000000000006</v>
      </c>
      <c r="AH155" s="551">
        <f t="shared" ca="1" si="72"/>
        <v>0.27350000000000002</v>
      </c>
      <c r="AJ155" s="553">
        <v>26</v>
      </c>
      <c r="AL155" s="574"/>
      <c r="AM155" s="431">
        <f t="shared" ca="1" si="73"/>
        <v>305.24</v>
      </c>
      <c r="AN155" s="617">
        <f t="shared" ca="1" si="74"/>
        <v>11.74</v>
      </c>
    </row>
    <row r="156" spans="1:40" ht="5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3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7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>F</v>
      </c>
      <c r="M156" s="145" t="s">
        <v>198</v>
      </c>
      <c r="N156" s="146" t="str">
        <f t="shared" ca="1" si="60"/>
        <v>Serviço</v>
      </c>
      <c r="O156" s="147" t="str">
        <f t="shared" ca="1" si="61"/>
        <v>3.1.7.</v>
      </c>
      <c r="P156" s="148" t="s">
        <v>246</v>
      </c>
      <c r="Q156" s="658" t="s">
        <v>458</v>
      </c>
      <c r="R156" s="150" t="str">
        <f t="shared" ca="1" si="62"/>
        <v>ARMAÇÃO DE PILAR OU VIGA DE UMA ESTRUTURA CONVENCIONAL DE CONCRETO ARMADO EM UM EDIFÍCIO DE MÚLTIPLOS PAVIMENTOS UTILIZANDO AÇO CA-50 DE 10,0 MM - MONTAGEM. AF_12/2015</v>
      </c>
      <c r="S156" s="151" t="str">
        <f t="shared" ca="1" si="63"/>
        <v>KG</v>
      </c>
      <c r="T156" s="152">
        <f ca="1">OFFSET(CÁLCULO!H$15,ROW($T156)-ROW(T$15),0)</f>
        <v>119.93</v>
      </c>
      <c r="U156" s="153">
        <v>7.31</v>
      </c>
      <c r="V156" s="154" t="s">
        <v>155</v>
      </c>
      <c r="W156" s="152">
        <f t="shared" ca="1" si="64"/>
        <v>9.31</v>
      </c>
      <c r="X156" s="155">
        <f t="shared" ca="1" si="65"/>
        <v>1116.55</v>
      </c>
      <c r="Y156" s="156" t="s">
        <v>244</v>
      </c>
      <c r="Z156" t="str">
        <f t="shared" ca="1" si="66"/>
        <v>RA</v>
      </c>
      <c r="AA156" s="157">
        <f ca="1">IF($C156="S",IF($Z156="CP",$X156,IF($Z156="RA",(($X156)*QCI!$AA$3),0)),SomaAgrup)</f>
        <v>1116.55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str">
        <f t="shared" ca="1" si="69"/>
        <v>SINAPI 92762</v>
      </c>
      <c r="AF156" s="160">
        <f t="shared" ca="1" si="70"/>
        <v>2155</v>
      </c>
      <c r="AG156" s="550">
        <f t="shared" ca="1" si="71"/>
        <v>7.31</v>
      </c>
      <c r="AH156" s="551">
        <f t="shared" ca="1" si="72"/>
        <v>0.27350000000000002</v>
      </c>
      <c r="AJ156" s="553">
        <v>119.93</v>
      </c>
      <c r="AL156" s="574"/>
      <c r="AM156" s="431">
        <f t="shared" ca="1" si="73"/>
        <v>1116.55</v>
      </c>
      <c r="AN156" s="617">
        <f t="shared" ca="1" si="74"/>
        <v>9.31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3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7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0.27350000000000002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3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7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0.27350000000000002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x14ac:dyDescent="0.2">
      <c r="A159">
        <f t="shared" si="50"/>
        <v>2</v>
      </c>
      <c r="B159">
        <f t="shared" ca="1" si="51"/>
        <v>2</v>
      </c>
      <c r="C159">
        <f t="shared" ca="1" si="52"/>
        <v>2</v>
      </c>
      <c r="D159">
        <f t="shared" ca="1" si="53"/>
        <v>4</v>
      </c>
      <c r="E159">
        <f ca="1">IF($C159=1,OFFSET(E159,-1,0)+MAX(1,COUNTIF(QCI!$A$13:$A$24,OFFSET(ORÇAMENTO!E159,-1,0))),OFFSET(E159,-1,0))</f>
        <v>3</v>
      </c>
      <c r="F159">
        <f t="shared" ca="1" si="54"/>
        <v>2</v>
      </c>
      <c r="G159">
        <f t="shared" ca="1" si="55"/>
        <v>0</v>
      </c>
      <c r="H159">
        <f t="shared" ca="1" si="56"/>
        <v>0</v>
      </c>
      <c r="I159">
        <f t="shared" ca="1" si="57"/>
        <v>0</v>
      </c>
      <c r="J159">
        <f t="shared" ca="1" si="58"/>
        <v>63</v>
      </c>
      <c r="K159">
        <f ca="1">IF(OR($C159="S",$C159=0),0,MATCH(OFFSET($D159,0,$C159)+IF($C159&lt;&gt;1,1,COUNTIF(QCI!$A$13:$A$24,ORÇAMENTO!E159)),OFFSET($D159,1,$C159,ROW($C$266)-ROW($C159)),0))</f>
        <v>4</v>
      </c>
      <c r="L159" s="144" t="str">
        <f t="shared" ca="1" si="59"/>
        <v>F</v>
      </c>
      <c r="M159" s="145" t="s">
        <v>195</v>
      </c>
      <c r="N159" s="146" t="str">
        <f t="shared" ca="1" si="60"/>
        <v>Nível 2</v>
      </c>
      <c r="O159" s="147" t="str">
        <f t="shared" ca="1" si="61"/>
        <v>3.2.</v>
      </c>
      <c r="P159" s="148" t="s">
        <v>246</v>
      </c>
      <c r="Q159" s="149"/>
      <c r="R159" s="150" t="str">
        <f ca="1">IF($C159="S",REFERENCIA.Descricao,"(COBERTURAS / FORROS)")</f>
        <v>(COBERTURAS / FORROS)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2693.35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2693.35</v>
      </c>
      <c r="AB159" s="158">
        <f t="shared" ca="1" si="67"/>
        <v>0</v>
      </c>
      <c r="AC159" s="159" t="str">
        <f t="shared" ca="1" si="68"/>
        <v/>
      </c>
      <c r="AD159" s="105">
        <f ca="1">IF(C159&lt;=CRONO.NivelExibicao,MAX($AD$15:OFFSET(AD159,-1,0))+IF($C159&lt;&gt;1,1,MAX(1,COUNTIF(QCI!$A$13:$A$24,OFFSET($E159,-1,0)))),"")</f>
        <v>17</v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0.27350000000000002</v>
      </c>
      <c r="AJ159" s="553"/>
      <c r="AL159" s="574"/>
      <c r="AM159" s="431">
        <f t="shared" ca="1" si="73"/>
        <v>2693.35</v>
      </c>
      <c r="AN159" s="617">
        <f t="shared" ca="1" si="74"/>
        <v>0</v>
      </c>
    </row>
    <row r="160" spans="1:40" ht="25.5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3</v>
      </c>
      <c r="F160">
        <f t="shared" ca="1" si="54"/>
        <v>2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>F</v>
      </c>
      <c r="M160" s="145" t="s">
        <v>198</v>
      </c>
      <c r="N160" s="146" t="str">
        <f t="shared" ca="1" si="60"/>
        <v>Serviço</v>
      </c>
      <c r="O160" s="147" t="str">
        <f t="shared" ca="1" si="61"/>
        <v>3.2.1.</v>
      </c>
      <c r="P160" s="148" t="s">
        <v>452</v>
      </c>
      <c r="Q160" s="658" t="s">
        <v>464</v>
      </c>
      <c r="R160" s="150" t="str">
        <f t="shared" ca="1" si="62"/>
        <v>FORRO DE PVC LISO, BRANCO, REGUA DE 10 CM, ESPESSURA DE 8 MM A 10 MM (COM COLOCACAO / SEM ESTRUTURA METALICA)</v>
      </c>
      <c r="S160" s="151" t="str">
        <f t="shared" ca="1" si="63"/>
        <v xml:space="preserve">M2    </v>
      </c>
      <c r="T160" s="152">
        <f ca="1">OFFSET(CÁLCULO!H$15,ROW($T160)-ROW(T$15),0)</f>
        <v>53.05</v>
      </c>
      <c r="U160" s="153">
        <v>39.869999999999997</v>
      </c>
      <c r="V160" s="154" t="s">
        <v>155</v>
      </c>
      <c r="W160" s="152">
        <f t="shared" ca="1" si="64"/>
        <v>50.77</v>
      </c>
      <c r="X160" s="155">
        <f t="shared" ca="1" si="65"/>
        <v>2693.35</v>
      </c>
      <c r="Y160" s="156" t="s">
        <v>244</v>
      </c>
      <c r="Z160" t="str">
        <f t="shared" ca="1" si="66"/>
        <v>RA</v>
      </c>
      <c r="AA160" s="157">
        <f ca="1">IF($C160="S",IF($Z160="CP",$X160,IF($Z160="RA",(($X160)*QCI!$AA$3),0)),SomaAgrup)</f>
        <v>2693.35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str">
        <f t="shared" ca="1" si="69"/>
        <v>SINAPI-I 11587</v>
      </c>
      <c r="AF160" s="160">
        <f t="shared" ca="1" si="70"/>
        <v>8651</v>
      </c>
      <c r="AG160" s="550">
        <f t="shared" ca="1" si="71"/>
        <v>39.869999999999997</v>
      </c>
      <c r="AH160" s="551">
        <f t="shared" ca="1" si="72"/>
        <v>0.27350000000000002</v>
      </c>
      <c r="AJ160" s="553">
        <v>53.05</v>
      </c>
      <c r="AL160" s="574"/>
      <c r="AM160" s="431">
        <f t="shared" ca="1" si="73"/>
        <v>2693.35</v>
      </c>
      <c r="AN160" s="617">
        <f t="shared" ca="1" si="74"/>
        <v>50.77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3</v>
      </c>
      <c r="F161">
        <f t="shared" ca="1" si="54"/>
        <v>2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0.27350000000000002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3</v>
      </c>
      <c r="F162">
        <f t="shared" ca="1" si="54"/>
        <v>2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0.27350000000000002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x14ac:dyDescent="0.2">
      <c r="A163">
        <f t="shared" si="50"/>
        <v>2</v>
      </c>
      <c r="B163">
        <f t="shared" ca="1" si="51"/>
        <v>2</v>
      </c>
      <c r="C163">
        <f t="shared" ca="1" si="52"/>
        <v>2</v>
      </c>
      <c r="D163">
        <f t="shared" ca="1" si="53"/>
        <v>12</v>
      </c>
      <c r="E163">
        <f ca="1">IF($C163=1,OFFSET(E163,-1,0)+MAX(1,COUNTIF(QCI!$A$13:$A$24,OFFSET(ORÇAMENTO!E163,-1,0))),OFFSET(E163,-1,0))</f>
        <v>3</v>
      </c>
      <c r="F163">
        <f t="shared" ca="1" si="54"/>
        <v>3</v>
      </c>
      <c r="G163">
        <f t="shared" ca="1" si="55"/>
        <v>0</v>
      </c>
      <c r="H163">
        <f t="shared" ca="1" si="56"/>
        <v>0</v>
      </c>
      <c r="I163">
        <f t="shared" ca="1" si="57"/>
        <v>0</v>
      </c>
      <c r="J163">
        <f t="shared" ca="1" si="58"/>
        <v>59</v>
      </c>
      <c r="K163">
        <f ca="1">IF(OR($C163="S",$C163=0),0,MATCH(OFFSET($D163,0,$C163)+IF($C163&lt;&gt;1,1,COUNTIF(QCI!$A$13:$A$24,ORÇAMENTO!E163)),OFFSET($D163,1,$C163,ROW($C$266)-ROW($C163)),0))</f>
        <v>12</v>
      </c>
      <c r="L163" s="144" t="str">
        <f t="shared" ca="1" si="59"/>
        <v>F</v>
      </c>
      <c r="M163" s="145" t="s">
        <v>195</v>
      </c>
      <c r="N163" s="146" t="str">
        <f t="shared" ca="1" si="60"/>
        <v>Nível 2</v>
      </c>
      <c r="O163" s="147" t="str">
        <f t="shared" ca="1" si="61"/>
        <v>3.3.</v>
      </c>
      <c r="P163" s="148" t="s">
        <v>246</v>
      </c>
      <c r="Q163" s="149"/>
      <c r="R163" s="150" t="str">
        <f ca="1">IF($C163="S",REFERENCIA.Descricao,"(REVESTIMENTOS)")</f>
        <v>(REVESTIMENTOS)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6954.06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6954.06</v>
      </c>
      <c r="AB163" s="158">
        <f t="shared" ca="1" si="67"/>
        <v>0</v>
      </c>
      <c r="AC163" s="159" t="str">
        <f t="shared" ca="1" si="68"/>
        <v/>
      </c>
      <c r="AD163" s="105">
        <f ca="1">IF(C163&lt;=CRONO.NivelExibicao,MAX($AD$15:OFFSET(AD163,-1,0))+IF($C163&lt;&gt;1,1,MAX(1,COUNTIF(QCI!$A$13:$A$24,OFFSET($E163,-1,0)))),"")</f>
        <v>18</v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0.27350000000000002</v>
      </c>
      <c r="AJ163" s="553"/>
      <c r="AL163" s="574"/>
      <c r="AM163" s="431">
        <f t="shared" ca="1" si="73"/>
        <v>6954.06</v>
      </c>
      <c r="AN163" s="617">
        <f t="shared" ca="1" si="74"/>
        <v>0</v>
      </c>
    </row>
    <row r="164" spans="1:40" ht="5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3</v>
      </c>
      <c r="F164">
        <f t="shared" ca="1" si="54"/>
        <v>3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>F</v>
      </c>
      <c r="M164" s="145" t="s">
        <v>198</v>
      </c>
      <c r="N164" s="146" t="str">
        <f t="shared" ca="1" si="60"/>
        <v>Serviço</v>
      </c>
      <c r="O164" s="147" t="str">
        <f t="shared" ca="1" si="61"/>
        <v>3.3.1.</v>
      </c>
      <c r="P164" s="148" t="s">
        <v>246</v>
      </c>
      <c r="Q164" s="658" t="s">
        <v>523</v>
      </c>
      <c r="R164" s="150" t="str">
        <f t="shared" ca="1" si="62"/>
        <v>REVESTIMENTO CERÂMICO PARA PAREDES INTERNAS COM PLACAS TIPO ESMALTADA EXTRA DE DIMENSÕES 20X20 CM APLICADAS EM AMBIENTES DE ÁREA MAIOR QUE 5 M² NA ALTURA INTEIRA DAS PAREDES. AF_06/2014</v>
      </c>
      <c r="S164" s="151" t="str">
        <f t="shared" ca="1" si="63"/>
        <v>M2</v>
      </c>
      <c r="T164" s="152">
        <f ca="1">OFFSET(CÁLCULO!H$15,ROW($T164)-ROW(T$15),0)</f>
        <v>122.08</v>
      </c>
      <c r="U164" s="153">
        <v>37.200000000000003</v>
      </c>
      <c r="V164" s="154" t="s">
        <v>155</v>
      </c>
      <c r="W164" s="152">
        <f t="shared" ca="1" si="64"/>
        <v>47.37</v>
      </c>
      <c r="X164" s="155">
        <f t="shared" ca="1" si="65"/>
        <v>5782.93</v>
      </c>
      <c r="Y164" s="156" t="s">
        <v>244</v>
      </c>
      <c r="Z164" t="str">
        <f t="shared" ca="1" si="66"/>
        <v>RA</v>
      </c>
      <c r="AA164" s="157">
        <f ca="1">IF($C164="S",IF($Z164="CP",$X164,IF($Z164="RA",(($X164)*QCI!$AA$3),0)),SomaAgrup)</f>
        <v>5782.93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str">
        <f t="shared" ca="1" si="69"/>
        <v>SINAPI 87265</v>
      </c>
      <c r="AF164" s="160">
        <f t="shared" ca="1" si="70"/>
        <v>5602</v>
      </c>
      <c r="AG164" s="550">
        <f t="shared" ca="1" si="71"/>
        <v>37.200000000000003</v>
      </c>
      <c r="AH164" s="551">
        <f t="shared" ca="1" si="72"/>
        <v>0.27350000000000002</v>
      </c>
      <c r="AJ164" s="553">
        <v>122.08</v>
      </c>
      <c r="AL164" s="574"/>
      <c r="AM164" s="431">
        <f t="shared" ca="1" si="73"/>
        <v>5782.93</v>
      </c>
      <c r="AN164" s="617">
        <f t="shared" ca="1" si="74"/>
        <v>47.37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3</v>
      </c>
      <c r="F165">
        <f t="shared" ca="1" si="54"/>
        <v>3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0.27350000000000002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3</v>
      </c>
      <c r="F166">
        <f t="shared" ca="1" si="54"/>
        <v>3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0.27350000000000002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3</v>
      </c>
      <c r="F167">
        <f t="shared" ca="1" si="54"/>
        <v>3</v>
      </c>
      <c r="G167">
        <f t="shared" ca="1" si="55"/>
        <v>0</v>
      </c>
      <c r="H167">
        <f t="shared" ca="1" si="56"/>
        <v>0</v>
      </c>
      <c r="I167">
        <f t="shared" ca="1" si="57"/>
        <v>2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>F</v>
      </c>
      <c r="M167" s="145" t="s">
        <v>198</v>
      </c>
      <c r="N167" s="146" t="str">
        <f t="shared" ca="1" si="60"/>
        <v>Serviço</v>
      </c>
      <c r="O167" s="147" t="str">
        <f t="shared" ca="1" si="61"/>
        <v>3.3.2.</v>
      </c>
      <c r="P167" s="148" t="s">
        <v>452</v>
      </c>
      <c r="Q167" s="658" t="s">
        <v>535</v>
      </c>
      <c r="R167" s="150" t="str">
        <f t="shared" ca="1" si="62"/>
        <v>REJUNTE COLORIDO, CIMENTICIO</v>
      </c>
      <c r="S167" s="151" t="str">
        <f t="shared" ca="1" si="63"/>
        <v xml:space="preserve">KG    </v>
      </c>
      <c r="T167" s="152">
        <f ca="1">OFFSET(CÁLCULO!H$15,ROW($T167)-ROW(T$15),0)</f>
        <v>35</v>
      </c>
      <c r="U167" s="153">
        <v>2.99</v>
      </c>
      <c r="V167" s="154" t="s">
        <v>155</v>
      </c>
      <c r="W167" s="152">
        <f t="shared" ca="1" si="64"/>
        <v>3.81</v>
      </c>
      <c r="X167" s="155">
        <f t="shared" ca="1" si="65"/>
        <v>133.35</v>
      </c>
      <c r="Y167" s="156" t="s">
        <v>244</v>
      </c>
      <c r="Z167" t="str">
        <f t="shared" ca="1" si="66"/>
        <v>RA</v>
      </c>
      <c r="AA167" s="157">
        <f ca="1">IF($C167="S",IF($Z167="CP",$X167,IF($Z167="RA",(($X167)*QCI!$AA$3),0)),SomaAgrup)</f>
        <v>133.35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str">
        <f t="shared" ca="1" si="69"/>
        <v>SINAPI-I 34357</v>
      </c>
      <c r="AF167" s="160">
        <f t="shared" ca="1" si="70"/>
        <v>10375</v>
      </c>
      <c r="AG167" s="550">
        <f t="shared" ca="1" si="71"/>
        <v>2.99</v>
      </c>
      <c r="AH167" s="551">
        <f t="shared" ca="1" si="72"/>
        <v>0.27350000000000002</v>
      </c>
      <c r="AJ167" s="553">
        <v>35</v>
      </c>
      <c r="AL167" s="574"/>
      <c r="AM167" s="431">
        <f t="shared" ca="1" si="73"/>
        <v>133.35</v>
      </c>
      <c r="AN167" s="617">
        <f t="shared" ca="1" si="74"/>
        <v>3.81</v>
      </c>
    </row>
    <row r="168" spans="1:40" ht="25.5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3</v>
      </c>
      <c r="F168">
        <f t="shared" ca="1" si="54"/>
        <v>3</v>
      </c>
      <c r="G168">
        <f t="shared" ca="1" si="55"/>
        <v>0</v>
      </c>
      <c r="H168">
        <f t="shared" ca="1" si="56"/>
        <v>0</v>
      </c>
      <c r="I168">
        <f t="shared" ca="1" si="57"/>
        <v>3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>F</v>
      </c>
      <c r="M168" s="145" t="s">
        <v>198</v>
      </c>
      <c r="N168" s="146" t="str">
        <f t="shared" ca="1" si="60"/>
        <v>Serviço</v>
      </c>
      <c r="O168" s="147" t="str">
        <f t="shared" ca="1" si="61"/>
        <v>3.3.3.</v>
      </c>
      <c r="P168" s="148" t="s">
        <v>452</v>
      </c>
      <c r="Q168" s="658" t="s">
        <v>474</v>
      </c>
      <c r="R168" s="150" t="str">
        <f t="shared" ca="1" si="62"/>
        <v>SOLEIRA/ PEITORIL EM MARMORE, POLIDO, BRANCO COMUM, L= *15* CM, E=  *2* CM,  CORTE RETO</v>
      </c>
      <c r="S168" s="151" t="str">
        <f t="shared" ca="1" si="63"/>
        <v xml:space="preserve">M     </v>
      </c>
      <c r="T168" s="152">
        <f ca="1">OFFSET(CÁLCULO!H$15,ROW($T168)-ROW(T$15),0)</f>
        <v>2.4</v>
      </c>
      <c r="U168" s="153">
        <v>43.1</v>
      </c>
      <c r="V168" s="154" t="s">
        <v>155</v>
      </c>
      <c r="W168" s="152">
        <f t="shared" ca="1" si="64"/>
        <v>54.89</v>
      </c>
      <c r="X168" s="155">
        <f t="shared" ca="1" si="65"/>
        <v>131.74</v>
      </c>
      <c r="Y168" s="156" t="s">
        <v>244</v>
      </c>
      <c r="Z168" t="str">
        <f t="shared" ca="1" si="66"/>
        <v>RA</v>
      </c>
      <c r="AA168" s="157">
        <f ca="1">IF($C168="S",IF($Z168="CP",$X168,IF($Z168="RA",(($X168)*QCI!$AA$3),0)),SomaAgrup)</f>
        <v>131.74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str">
        <f t="shared" ca="1" si="69"/>
        <v>SINAPI-I 4828</v>
      </c>
      <c r="AF168" s="160">
        <f t="shared" ca="1" si="70"/>
        <v>10514</v>
      </c>
      <c r="AG168" s="550">
        <f t="shared" ca="1" si="71"/>
        <v>43.1</v>
      </c>
      <c r="AH168" s="551">
        <f t="shared" ca="1" si="72"/>
        <v>0.27350000000000002</v>
      </c>
      <c r="AJ168" s="553">
        <v>2.4</v>
      </c>
      <c r="AL168" s="574"/>
      <c r="AM168" s="431">
        <f t="shared" ca="1" si="73"/>
        <v>131.74</v>
      </c>
      <c r="AN168" s="617">
        <f t="shared" ca="1" si="74"/>
        <v>54.89</v>
      </c>
    </row>
    <row r="169" spans="1:40" ht="25.5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3</v>
      </c>
      <c r="F169">
        <f t="shared" ca="1" si="54"/>
        <v>3</v>
      </c>
      <c r="G169">
        <f t="shared" ca="1" si="55"/>
        <v>0</v>
      </c>
      <c r="H169">
        <f t="shared" ca="1" si="56"/>
        <v>0</v>
      </c>
      <c r="I169">
        <f t="shared" ca="1" si="57"/>
        <v>4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>F</v>
      </c>
      <c r="M169" s="145" t="s">
        <v>198</v>
      </c>
      <c r="N169" s="146" t="str">
        <f t="shared" ca="1" si="60"/>
        <v>Serviço</v>
      </c>
      <c r="O169" s="147" t="str">
        <f t="shared" ca="1" si="61"/>
        <v>3.3.4.</v>
      </c>
      <c r="P169" s="148" t="s">
        <v>452</v>
      </c>
      <c r="Q169" s="658" t="s">
        <v>524</v>
      </c>
      <c r="R169" s="150" t="str">
        <f t="shared" ca="1" si="62"/>
        <v>BANCADA/ BANCA EM MARMORE, POLIDO, BRANCO COMUM, E=  *3* CM</v>
      </c>
      <c r="S169" s="151" t="str">
        <f t="shared" ca="1" si="63"/>
        <v xml:space="preserve">M2    </v>
      </c>
      <c r="T169" s="152">
        <f ca="1">OFFSET(CÁLCULO!H$15,ROW($T169)-ROW(T$15),0)</f>
        <v>1.2</v>
      </c>
      <c r="U169" s="153">
        <v>291.74</v>
      </c>
      <c r="V169" s="154" t="s">
        <v>155</v>
      </c>
      <c r="W169" s="152">
        <f t="shared" ca="1" si="64"/>
        <v>371.53</v>
      </c>
      <c r="X169" s="155">
        <f t="shared" ca="1" si="65"/>
        <v>445.84</v>
      </c>
      <c r="Y169" s="156" t="s">
        <v>244</v>
      </c>
      <c r="Z169" t="str">
        <f t="shared" ca="1" si="66"/>
        <v>RA</v>
      </c>
      <c r="AA169" s="157">
        <f ca="1">IF($C169="S",IF($Z169="CP",$X169,IF($Z169="RA",(($X169)*QCI!$AA$3),0)),SomaAgrup)</f>
        <v>445.84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str">
        <f t="shared" ca="1" si="69"/>
        <v>SINAPI-I 11692</v>
      </c>
      <c r="AF169" s="160">
        <f t="shared" ca="1" si="70"/>
        <v>6798</v>
      </c>
      <c r="AG169" s="550">
        <f t="shared" ca="1" si="71"/>
        <v>291.74</v>
      </c>
      <c r="AH169" s="551">
        <f t="shared" ca="1" si="72"/>
        <v>0.27350000000000002</v>
      </c>
      <c r="AJ169" s="553">
        <v>1.2</v>
      </c>
      <c r="AL169" s="574"/>
      <c r="AM169" s="431">
        <f t="shared" ca="1" si="73"/>
        <v>445.84</v>
      </c>
      <c r="AN169" s="617">
        <f t="shared" ca="1" si="74"/>
        <v>371.53</v>
      </c>
    </row>
    <row r="170" spans="1:40" ht="5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3</v>
      </c>
      <c r="F170">
        <f t="shared" ca="1" si="54"/>
        <v>3</v>
      </c>
      <c r="G170">
        <f t="shared" ca="1" si="55"/>
        <v>0</v>
      </c>
      <c r="H170">
        <f t="shared" ca="1" si="56"/>
        <v>0</v>
      </c>
      <c r="I170">
        <f t="shared" ca="1" si="57"/>
        <v>5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>F</v>
      </c>
      <c r="M170" s="145" t="s">
        <v>198</v>
      </c>
      <c r="N170" s="146" t="str">
        <f t="shared" ca="1" si="60"/>
        <v>Serviço</v>
      </c>
      <c r="O170" s="147" t="str">
        <f t="shared" ca="1" si="61"/>
        <v>3.3.5.</v>
      </c>
      <c r="P170" s="148" t="s">
        <v>246</v>
      </c>
      <c r="Q170" s="658" t="s">
        <v>472</v>
      </c>
      <c r="R170" s="150" t="str">
        <f t="shared" ca="1" si="62"/>
        <v>(COMPOSIÇÃO REPRESENTATIVA) DO SERVIÇO DE REVESTIMENTO CERÂMICO PARA PISO COM PLACAS TIPO GRÉS DE DIMENSÕES 35X35 CM, PARA EDIFICAÇÃO HABITACIONAL UNIFAMILIAR (CASA) E EDIFICAÇÃO PÚBLICA PADRÃO. AF_11/2014</v>
      </c>
      <c r="S170" s="151" t="str">
        <f t="shared" ca="1" si="63"/>
        <v>M2</v>
      </c>
      <c r="T170" s="152">
        <f ca="1">OFFSET(CÁLCULO!H$15,ROW($T170)-ROW(T$15),0)</f>
        <v>12</v>
      </c>
      <c r="U170" s="153">
        <v>30.11</v>
      </c>
      <c r="V170" s="154" t="s">
        <v>155</v>
      </c>
      <c r="W170" s="152">
        <f t="shared" ca="1" si="64"/>
        <v>38.35</v>
      </c>
      <c r="X170" s="155">
        <f t="shared" ca="1" si="65"/>
        <v>460.2</v>
      </c>
      <c r="Y170" s="156" t="s">
        <v>244</v>
      </c>
      <c r="Z170" t="str">
        <f t="shared" ca="1" si="66"/>
        <v>RA</v>
      </c>
      <c r="AA170" s="157">
        <f ca="1">IF($C170="S",IF($Z170="CP",$X170,IF($Z170="RA",(($X170)*QCI!$AA$3),0)),SomaAgrup)</f>
        <v>460.2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str">
        <f t="shared" ca="1" si="69"/>
        <v>SINAPI 89171</v>
      </c>
      <c r="AF170" s="160">
        <f t="shared" ca="1" si="70"/>
        <v>5309</v>
      </c>
      <c r="AG170" s="550">
        <f t="shared" ca="1" si="71"/>
        <v>30.11</v>
      </c>
      <c r="AH170" s="551">
        <f t="shared" ca="1" si="72"/>
        <v>0.27350000000000002</v>
      </c>
      <c r="AJ170" s="553">
        <v>12</v>
      </c>
      <c r="AL170" s="574"/>
      <c r="AM170" s="431">
        <f t="shared" ca="1" si="73"/>
        <v>460.2</v>
      </c>
      <c r="AN170" s="617">
        <f t="shared" ca="1" si="74"/>
        <v>38.35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3</v>
      </c>
      <c r="F171">
        <f t="shared" ca="1" si="54"/>
        <v>3</v>
      </c>
      <c r="G171">
        <f t="shared" ca="1" si="55"/>
        <v>0</v>
      </c>
      <c r="H171">
        <f t="shared" ca="1" si="56"/>
        <v>0</v>
      </c>
      <c r="I171">
        <f t="shared" ca="1" si="57"/>
        <v>5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0.27350000000000002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3</v>
      </c>
      <c r="F172">
        <f t="shared" ca="1" si="54"/>
        <v>3</v>
      </c>
      <c r="G172">
        <f t="shared" ca="1" si="55"/>
        <v>0</v>
      </c>
      <c r="H172">
        <f t="shared" ca="1" si="56"/>
        <v>0</v>
      </c>
      <c r="I172">
        <f t="shared" ca="1" si="57"/>
        <v>5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0.27350000000000002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3</v>
      </c>
      <c r="F173">
        <f t="shared" ca="1" si="54"/>
        <v>3</v>
      </c>
      <c r="G173">
        <f t="shared" ca="1" si="55"/>
        <v>0</v>
      </c>
      <c r="H173">
        <f t="shared" ca="1" si="56"/>
        <v>0</v>
      </c>
      <c r="I173">
        <f t="shared" ca="1" si="57"/>
        <v>5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0.27350000000000002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3</v>
      </c>
      <c r="F174">
        <f t="shared" ca="1" si="54"/>
        <v>3</v>
      </c>
      <c r="G174">
        <f t="shared" ca="1" si="55"/>
        <v>0</v>
      </c>
      <c r="H174">
        <f t="shared" ca="1" si="56"/>
        <v>0</v>
      </c>
      <c r="I174">
        <f t="shared" ca="1" si="57"/>
        <v>5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0.27350000000000002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x14ac:dyDescent="0.2">
      <c r="A175">
        <f t="shared" si="50"/>
        <v>2</v>
      </c>
      <c r="B175">
        <f t="shared" ca="1" si="51"/>
        <v>2</v>
      </c>
      <c r="C175">
        <f t="shared" ca="1" si="52"/>
        <v>2</v>
      </c>
      <c r="D175">
        <f t="shared" ca="1" si="53"/>
        <v>9</v>
      </c>
      <c r="E175">
        <f ca="1">IF($C175=1,OFFSET(E175,-1,0)+MAX(1,COUNTIF(QCI!$A$13:$A$24,OFFSET(ORÇAMENTO!E175,-1,0))),OFFSET(E175,-1,0))</f>
        <v>3</v>
      </c>
      <c r="F175">
        <f t="shared" ca="1" si="54"/>
        <v>4</v>
      </c>
      <c r="G175">
        <f t="shared" ca="1" si="55"/>
        <v>0</v>
      </c>
      <c r="H175">
        <f t="shared" ca="1" si="56"/>
        <v>0</v>
      </c>
      <c r="I175">
        <f t="shared" ca="1" si="57"/>
        <v>0</v>
      </c>
      <c r="J175">
        <f t="shared" ca="1" si="58"/>
        <v>47</v>
      </c>
      <c r="K175">
        <f ca="1">IF(OR($C175="S",$C175=0),0,MATCH(OFFSET($D175,0,$C175)+IF($C175&lt;&gt;1,1,COUNTIF(QCI!$A$13:$A$24,ORÇAMENTO!E175)),OFFSET($D175,1,$C175,ROW($C$266)-ROW($C175)),0))</f>
        <v>9</v>
      </c>
      <c r="L175" s="144" t="str">
        <f t="shared" ca="1" si="59"/>
        <v>F</v>
      </c>
      <c r="M175" s="145" t="s">
        <v>195</v>
      </c>
      <c r="N175" s="146" t="str">
        <f t="shared" ca="1" si="60"/>
        <v>Nível 2</v>
      </c>
      <c r="O175" s="147" t="str">
        <f t="shared" ca="1" si="61"/>
        <v>3.4.</v>
      </c>
      <c r="P175" s="148" t="s">
        <v>246</v>
      </c>
      <c r="Q175" s="149"/>
      <c r="R175" s="150" t="str">
        <f ca="1">IF($C175="S",REFERENCIA.Descricao,"(ESQUADRIAS METALICAS , PORTAS , TELAS MILIMETRICAS)")</f>
        <v>(ESQUADRIAS METALICAS , PORTAS , TELAS MILIMETRICAS)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3735.24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3735.2400000000002</v>
      </c>
      <c r="AB175" s="158">
        <f t="shared" ca="1" si="67"/>
        <v>0</v>
      </c>
      <c r="AC175" s="159" t="str">
        <f t="shared" ca="1" si="68"/>
        <v/>
      </c>
      <c r="AD175" s="105">
        <f ca="1">IF(C175&lt;=CRONO.NivelExibicao,MAX($AD$15:OFFSET(AD175,-1,0))+IF($C175&lt;&gt;1,1,MAX(1,COUNTIF(QCI!$A$13:$A$24,OFFSET($E175,-1,0)))),"")</f>
        <v>19</v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0.27350000000000002</v>
      </c>
      <c r="AJ175" s="553"/>
      <c r="AL175" s="574"/>
      <c r="AM175" s="431">
        <f t="shared" ca="1" si="73"/>
        <v>3735.24</v>
      </c>
      <c r="AN175" s="617">
        <f t="shared" ca="1" si="74"/>
        <v>0</v>
      </c>
    </row>
    <row r="176" spans="1:40" ht="5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3</v>
      </c>
      <c r="F176">
        <f t="shared" ca="1" si="54"/>
        <v>4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>F</v>
      </c>
      <c r="M176" s="145" t="s">
        <v>198</v>
      </c>
      <c r="N176" s="146" t="str">
        <f t="shared" ca="1" si="60"/>
        <v>Serviço</v>
      </c>
      <c r="O176" s="147" t="str">
        <f t="shared" ca="1" si="61"/>
        <v>3.4.1.</v>
      </c>
      <c r="P176" s="148" t="s">
        <v>452</v>
      </c>
      <c r="Q176" s="658" t="s">
        <v>513</v>
      </c>
      <c r="R176" s="150" t="str">
        <f t="shared" ca="1" si="62"/>
        <v>JANELA DE CORRER EM ALUMINIO, VENEZIANA, 120  X 150 CM (A X L), 3 FLS (2 VENEZIANAS E 1 VIDRO), SEM BANDEIRA, ACABAMENTO ACET OU BRILHANTE, BATENTE/REQUADRO DE 6 A 14 CM, COM VIDRO, SEM GUARNICAO/ALIZAR</v>
      </c>
      <c r="S176" s="151" t="str">
        <f t="shared" ca="1" si="63"/>
        <v xml:space="preserve">UN    </v>
      </c>
      <c r="T176" s="152">
        <f ca="1">OFFSET(CÁLCULO!H$15,ROW($T176)-ROW(T$15),0)</f>
        <v>2</v>
      </c>
      <c r="U176" s="153">
        <v>567.20000000000005</v>
      </c>
      <c r="V176" s="154" t="s">
        <v>155</v>
      </c>
      <c r="W176" s="152">
        <f t="shared" ca="1" si="64"/>
        <v>722.33</v>
      </c>
      <c r="X176" s="155">
        <f t="shared" ca="1" si="65"/>
        <v>1444.66</v>
      </c>
      <c r="Y176" s="156" t="s">
        <v>244</v>
      </c>
      <c r="Z176" t="str">
        <f t="shared" ca="1" si="66"/>
        <v>RA</v>
      </c>
      <c r="AA176" s="157">
        <f ca="1">IF($C176="S",IF($Z176="CP",$X176,IF($Z176="RA",(($X176)*QCI!$AA$3),0)),SomaAgrup)</f>
        <v>1444.66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str">
        <f t="shared" ca="1" si="69"/>
        <v>SINAPI-I 34371</v>
      </c>
      <c r="AF176" s="160">
        <f t="shared" ca="1" si="70"/>
        <v>8865</v>
      </c>
      <c r="AG176" s="550">
        <f t="shared" ca="1" si="71"/>
        <v>567.20000000000005</v>
      </c>
      <c r="AH176" s="551">
        <f t="shared" ca="1" si="72"/>
        <v>0.27350000000000002</v>
      </c>
      <c r="AJ176" s="553">
        <v>2</v>
      </c>
      <c r="AL176" s="574"/>
      <c r="AM176" s="431">
        <f t="shared" ca="1" si="73"/>
        <v>1444.66</v>
      </c>
      <c r="AN176" s="617">
        <f t="shared" ca="1" si="74"/>
        <v>722.33</v>
      </c>
    </row>
    <row r="177" spans="1:40" ht="25.5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3</v>
      </c>
      <c r="F177">
        <f t="shared" ca="1" si="54"/>
        <v>4</v>
      </c>
      <c r="G177">
        <f t="shared" ca="1" si="55"/>
        <v>0</v>
      </c>
      <c r="H177">
        <f t="shared" ca="1" si="56"/>
        <v>0</v>
      </c>
      <c r="I177">
        <f t="shared" ca="1" si="57"/>
        <v>2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>F</v>
      </c>
      <c r="M177" s="145" t="s">
        <v>198</v>
      </c>
      <c r="N177" s="146" t="str">
        <f t="shared" ca="1" si="60"/>
        <v>Serviço</v>
      </c>
      <c r="O177" s="147" t="str">
        <f t="shared" ca="1" si="61"/>
        <v>3.4.2.</v>
      </c>
      <c r="P177" s="148" t="s">
        <v>246</v>
      </c>
      <c r="Q177" s="658" t="s">
        <v>515</v>
      </c>
      <c r="R177" s="150" t="str">
        <f t="shared" ca="1" si="62"/>
        <v>PORTA DE FERRO, DE ABRIR, TIPO GRADE COM CHAPA, COM GUARNIÇÕES. AF_12/2019</v>
      </c>
      <c r="S177" s="151" t="str">
        <f t="shared" ca="1" si="63"/>
        <v>M2</v>
      </c>
      <c r="T177" s="152">
        <f ca="1">OFFSET(CÁLCULO!H$15,ROW($T177)-ROW(T$15),0)</f>
        <v>1.68</v>
      </c>
      <c r="U177" s="153">
        <v>426.33</v>
      </c>
      <c r="V177" s="154" t="s">
        <v>155</v>
      </c>
      <c r="W177" s="152">
        <f t="shared" ca="1" si="64"/>
        <v>542.92999999999995</v>
      </c>
      <c r="X177" s="155">
        <f t="shared" ca="1" si="65"/>
        <v>912.12</v>
      </c>
      <c r="Y177" s="156" t="s">
        <v>244</v>
      </c>
      <c r="Z177" t="str">
        <f t="shared" ca="1" si="66"/>
        <v>RA</v>
      </c>
      <c r="AA177" s="157">
        <f ca="1">IF($C177="S",IF($Z177="CP",$X177,IF($Z177="RA",(($X177)*QCI!$AA$3),0)),SomaAgrup)</f>
        <v>912.12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str">
        <f t="shared" ca="1" si="69"/>
        <v>SINAPI 100701</v>
      </c>
      <c r="AF177" s="160">
        <f t="shared" ca="1" si="70"/>
        <v>1791</v>
      </c>
      <c r="AG177" s="550">
        <f t="shared" ca="1" si="71"/>
        <v>426.33</v>
      </c>
      <c r="AH177" s="551">
        <f t="shared" ca="1" si="72"/>
        <v>0.27350000000000002</v>
      </c>
      <c r="AJ177" s="553">
        <v>1.68</v>
      </c>
      <c r="AL177" s="574"/>
      <c r="AM177" s="431">
        <f t="shared" ca="1" si="73"/>
        <v>912.12</v>
      </c>
      <c r="AN177" s="617">
        <f t="shared" ca="1" si="74"/>
        <v>542.92999999999995</v>
      </c>
    </row>
    <row r="178" spans="1:40" ht="38.25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3</v>
      </c>
      <c r="F178">
        <f t="shared" ca="1" si="54"/>
        <v>4</v>
      </c>
      <c r="G178">
        <f t="shared" ca="1" si="55"/>
        <v>0</v>
      </c>
      <c r="H178">
        <f t="shared" ca="1" si="56"/>
        <v>0</v>
      </c>
      <c r="I178">
        <f t="shared" ca="1" si="57"/>
        <v>3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>F</v>
      </c>
      <c r="M178" s="145" t="s">
        <v>198</v>
      </c>
      <c r="N178" s="146" t="str">
        <f t="shared" ca="1" si="60"/>
        <v>Serviço</v>
      </c>
      <c r="O178" s="147" t="str">
        <f t="shared" ca="1" si="61"/>
        <v>3.4.3.</v>
      </c>
      <c r="P178" s="148" t="s">
        <v>452</v>
      </c>
      <c r="Q178" s="658" t="s">
        <v>525</v>
      </c>
      <c r="R178" s="150" t="str">
        <f t="shared" ca="1" si="62"/>
        <v>JANELA DE CORRER EM ALUMINIO, 100 X 120 CM (A X L), 2 FLS,  SEM BANDEIRA,  ACABAMENTO ACET OU BRILHANTE, BATENTE/REQUADRO DE 6 A 14 CM, COM VIDRO, SEM GUARNICAO</v>
      </c>
      <c r="S178" s="151" t="str">
        <f t="shared" ca="1" si="63"/>
        <v xml:space="preserve">UN    </v>
      </c>
      <c r="T178" s="152">
        <f ca="1">OFFSET(CÁLCULO!H$15,ROW($T178)-ROW(T$15),0)</f>
        <v>1</v>
      </c>
      <c r="U178" s="153">
        <v>269.89999999999998</v>
      </c>
      <c r="V178" s="154" t="s">
        <v>155</v>
      </c>
      <c r="W178" s="152">
        <f t="shared" ca="1" si="64"/>
        <v>343.72</v>
      </c>
      <c r="X178" s="155">
        <f t="shared" ca="1" si="65"/>
        <v>343.72</v>
      </c>
      <c r="Y178" s="156" t="s">
        <v>244</v>
      </c>
      <c r="Z178" t="str">
        <f t="shared" ca="1" si="66"/>
        <v>RA</v>
      </c>
      <c r="AA178" s="157">
        <f ca="1">IF($C178="S",IF($Z178="CP",$X178,IF($Z178="RA",(($X178)*QCI!$AA$3),0)),SomaAgrup)</f>
        <v>343.72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str">
        <f t="shared" ca="1" si="69"/>
        <v>SINAPI-I 36896</v>
      </c>
      <c r="AF178" s="160">
        <f t="shared" ca="1" si="70"/>
        <v>8869</v>
      </c>
      <c r="AG178" s="550">
        <f t="shared" ca="1" si="71"/>
        <v>269.89999999999998</v>
      </c>
      <c r="AH178" s="551">
        <f t="shared" ca="1" si="72"/>
        <v>0.27350000000000002</v>
      </c>
      <c r="AJ178" s="553">
        <v>1</v>
      </c>
      <c r="AL178" s="574"/>
      <c r="AM178" s="431">
        <f t="shared" ca="1" si="73"/>
        <v>343.72</v>
      </c>
      <c r="AN178" s="617">
        <f t="shared" ca="1" si="74"/>
        <v>343.72</v>
      </c>
    </row>
    <row r="179" spans="1:40" ht="38.25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3</v>
      </c>
      <c r="F179">
        <f t="shared" ca="1" si="54"/>
        <v>4</v>
      </c>
      <c r="G179">
        <f t="shared" ca="1" si="55"/>
        <v>0</v>
      </c>
      <c r="H179">
        <f t="shared" ca="1" si="56"/>
        <v>0</v>
      </c>
      <c r="I179">
        <f t="shared" ca="1" si="57"/>
        <v>4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>F</v>
      </c>
      <c r="M179" s="145" t="s">
        <v>198</v>
      </c>
      <c r="N179" s="146" t="str">
        <f t="shared" ca="1" si="60"/>
        <v>Serviço</v>
      </c>
      <c r="O179" s="147" t="str">
        <f t="shared" ca="1" si="61"/>
        <v>3.4.4.</v>
      </c>
      <c r="P179" s="148" t="s">
        <v>246</v>
      </c>
      <c r="Q179" s="658" t="s">
        <v>477</v>
      </c>
      <c r="R179" s="150" t="str">
        <f t="shared" ca="1" si="62"/>
        <v>PORTA DE MADEIRA PARA PINTURA, SEMI-OCA (LEVE OU MÉDIA), 80X210CM, ESPESSURA DE 3,5CM, INCLUSO DOBRADIÇAS - FORNECIMENTO E INSTALAÇÃO. AF_12/2019</v>
      </c>
      <c r="S179" s="151" t="str">
        <f t="shared" ca="1" si="63"/>
        <v>UN</v>
      </c>
      <c r="T179" s="152">
        <f ca="1">OFFSET(CÁLCULO!H$15,ROW($T179)-ROW(T$15),0)</f>
        <v>1</v>
      </c>
      <c r="U179" s="153">
        <v>282.86</v>
      </c>
      <c r="V179" s="154" t="s">
        <v>155</v>
      </c>
      <c r="W179" s="152">
        <f t="shared" ca="1" si="64"/>
        <v>360.22</v>
      </c>
      <c r="X179" s="155">
        <f t="shared" ca="1" si="65"/>
        <v>360.22</v>
      </c>
      <c r="Y179" s="156" t="s">
        <v>244</v>
      </c>
      <c r="Z179" t="str">
        <f t="shared" ca="1" si="66"/>
        <v>RA</v>
      </c>
      <c r="AA179" s="157">
        <f ca="1">IF($C179="S",IF($Z179="CP",$X179,IF($Z179="RA",(($X179)*QCI!$AA$3),0)),SomaAgrup)</f>
        <v>360.22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str">
        <f t="shared" ca="1" si="69"/>
        <v>SINAPI 90822</v>
      </c>
      <c r="AF179" s="160">
        <f t="shared" ca="1" si="70"/>
        <v>1700</v>
      </c>
      <c r="AG179" s="550">
        <f t="shared" ca="1" si="71"/>
        <v>282.86</v>
      </c>
      <c r="AH179" s="551">
        <f t="shared" ca="1" si="72"/>
        <v>0.27350000000000002</v>
      </c>
      <c r="AJ179" s="553">
        <v>1</v>
      </c>
      <c r="AL179" s="574"/>
      <c r="AM179" s="431">
        <f t="shared" ca="1" si="73"/>
        <v>360.22</v>
      </c>
      <c r="AN179" s="617">
        <f t="shared" ca="1" si="74"/>
        <v>360.22</v>
      </c>
    </row>
    <row r="180" spans="1:40" ht="25.5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3</v>
      </c>
      <c r="F180">
        <f t="shared" ca="1" si="54"/>
        <v>4</v>
      </c>
      <c r="G180">
        <f t="shared" ca="1" si="55"/>
        <v>0</v>
      </c>
      <c r="H180">
        <f t="shared" ca="1" si="56"/>
        <v>0</v>
      </c>
      <c r="I180">
        <f t="shared" ca="1" si="57"/>
        <v>5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>F</v>
      </c>
      <c r="M180" s="145" t="s">
        <v>198</v>
      </c>
      <c r="N180" s="146" t="str">
        <f t="shared" ca="1" si="60"/>
        <v>Serviço</v>
      </c>
      <c r="O180" s="147" t="str">
        <f t="shared" ca="1" si="61"/>
        <v>3.4.5.</v>
      </c>
      <c r="P180" s="148" t="s">
        <v>246</v>
      </c>
      <c r="Q180" s="658" t="s">
        <v>514</v>
      </c>
      <c r="R180" s="150" t="str">
        <f t="shared" ca="1" si="62"/>
        <v>GRADIL EM FERRO FIXADO EM VÃOS DE JANELAS, FORMADO POR BARRAS CHATAS DE 25X4,8 MM. AF_04/2019</v>
      </c>
      <c r="S180" s="151" t="str">
        <f t="shared" ca="1" si="63"/>
        <v>M2</v>
      </c>
      <c r="T180" s="152">
        <f ca="1">OFFSET(CÁLCULO!H$15,ROW($T180)-ROW(T$15),0)</f>
        <v>1.2</v>
      </c>
      <c r="U180" s="153">
        <v>441.38</v>
      </c>
      <c r="V180" s="154" t="s">
        <v>155</v>
      </c>
      <c r="W180" s="152">
        <f t="shared" ca="1" si="64"/>
        <v>562.1</v>
      </c>
      <c r="X180" s="155">
        <f t="shared" ca="1" si="65"/>
        <v>674.52</v>
      </c>
      <c r="Y180" s="156" t="s">
        <v>244</v>
      </c>
      <c r="Z180" t="str">
        <f t="shared" ca="1" si="66"/>
        <v>RA</v>
      </c>
      <c r="AA180" s="157">
        <f ca="1">IF($C180="S",IF($Z180="CP",$X180,IF($Z180="RA",(($X180)*QCI!$AA$3),0)),SomaAgrup)</f>
        <v>674.52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str">
        <f t="shared" ca="1" si="69"/>
        <v>SINAPI 99861</v>
      </c>
      <c r="AF180" s="160">
        <f t="shared" ca="1" si="70"/>
        <v>1803</v>
      </c>
      <c r="AG180" s="550">
        <f t="shared" ca="1" si="71"/>
        <v>441.38</v>
      </c>
      <c r="AH180" s="551">
        <f t="shared" ca="1" si="72"/>
        <v>0.27350000000000002</v>
      </c>
      <c r="AJ180" s="553">
        <v>1.2</v>
      </c>
      <c r="AL180" s="574"/>
      <c r="AM180" s="431">
        <f t="shared" ca="1" si="73"/>
        <v>674.52</v>
      </c>
      <c r="AN180" s="617">
        <f t="shared" ca="1" si="74"/>
        <v>562.1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3</v>
      </c>
      <c r="F181">
        <f t="shared" ca="1" si="54"/>
        <v>4</v>
      </c>
      <c r="G181">
        <f t="shared" ca="1" si="55"/>
        <v>0</v>
      </c>
      <c r="H181">
        <f t="shared" ca="1" si="56"/>
        <v>0</v>
      </c>
      <c r="I181">
        <f t="shared" ca="1" si="57"/>
        <v>5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0.27350000000000002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3</v>
      </c>
      <c r="F182">
        <f t="shared" ca="1" si="54"/>
        <v>4</v>
      </c>
      <c r="G182">
        <f t="shared" ca="1" si="55"/>
        <v>0</v>
      </c>
      <c r="H182">
        <f t="shared" ca="1" si="56"/>
        <v>0</v>
      </c>
      <c r="I182">
        <f t="shared" ca="1" si="57"/>
        <v>5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0.27350000000000002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3</v>
      </c>
      <c r="F183">
        <f t="shared" ca="1" si="54"/>
        <v>4</v>
      </c>
      <c r="G183">
        <f t="shared" ca="1" si="55"/>
        <v>0</v>
      </c>
      <c r="H183">
        <f t="shared" ca="1" si="56"/>
        <v>0</v>
      </c>
      <c r="I183">
        <f t="shared" ca="1" si="57"/>
        <v>5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0.27350000000000002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x14ac:dyDescent="0.2">
      <c r="A184">
        <f t="shared" si="50"/>
        <v>2</v>
      </c>
      <c r="B184">
        <f t="shared" ca="1" si="51"/>
        <v>2</v>
      </c>
      <c r="C184">
        <f t="shared" ca="1" si="52"/>
        <v>2</v>
      </c>
      <c r="D184">
        <f t="shared" ca="1" si="53"/>
        <v>13</v>
      </c>
      <c r="E184">
        <f ca="1">IF($C184=1,OFFSET(E184,-1,0)+MAX(1,COUNTIF(QCI!$A$13:$A$24,OFFSET(ORÇAMENTO!E184,-1,0))),OFFSET(E184,-1,0))</f>
        <v>3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0</v>
      </c>
      <c r="J184">
        <f t="shared" ca="1" si="58"/>
        <v>38</v>
      </c>
      <c r="K184">
        <f ca="1">IF(OR($C184="S",$C184=0),0,MATCH(OFFSET($D184,0,$C184)+IF($C184&lt;&gt;1,1,COUNTIF(QCI!$A$13:$A$24,ORÇAMENTO!E184)),OFFSET($D184,1,$C184,ROW($C$266)-ROW($C184)),0))</f>
        <v>13</v>
      </c>
      <c r="L184" s="144" t="str">
        <f t="shared" ca="1" si="59"/>
        <v>F</v>
      </c>
      <c r="M184" s="145" t="s">
        <v>195</v>
      </c>
      <c r="N184" s="146" t="str">
        <f t="shared" ca="1" si="60"/>
        <v>Nível 2</v>
      </c>
      <c r="O184" s="147" t="str">
        <f t="shared" ca="1" si="61"/>
        <v>3.5.</v>
      </c>
      <c r="P184" s="148" t="s">
        <v>246</v>
      </c>
      <c r="Q184" s="149"/>
      <c r="R184" s="150" t="str">
        <f ca="1">IF($C184="S",REFERENCIA.Descricao,"(INSTALAÇOES ELETRICAS)")</f>
        <v>(INSTALAÇOES ELETRICAS)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3150.13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3150.1299999999997</v>
      </c>
      <c r="AB184" s="158">
        <f t="shared" ca="1" si="67"/>
        <v>0</v>
      </c>
      <c r="AC184" s="159" t="str">
        <f t="shared" ca="1" si="68"/>
        <v/>
      </c>
      <c r="AD184" s="105">
        <f ca="1">IF(C184&lt;=CRONO.NivelExibicao,MAX($AD$15:OFFSET(AD184,-1,0))+IF($C184&lt;&gt;1,1,MAX(1,COUNTIF(QCI!$A$13:$A$24,OFFSET($E184,-1,0)))),"")</f>
        <v>20</v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0.27350000000000002</v>
      </c>
      <c r="AJ184" s="553"/>
      <c r="AL184" s="574"/>
      <c r="AM184" s="431">
        <f t="shared" ca="1" si="73"/>
        <v>3150.13</v>
      </c>
      <c r="AN184" s="617">
        <f t="shared" ca="1" si="74"/>
        <v>0</v>
      </c>
    </row>
    <row r="185" spans="1:40" ht="25.5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3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>F</v>
      </c>
      <c r="M185" s="145" t="s">
        <v>198</v>
      </c>
      <c r="N185" s="146" t="str">
        <f t="shared" ca="1" si="60"/>
        <v>Serviço</v>
      </c>
      <c r="O185" s="147" t="str">
        <f t="shared" ca="1" si="61"/>
        <v>3.5.1.</v>
      </c>
      <c r="P185" s="148" t="s">
        <v>452</v>
      </c>
      <c r="Q185" s="149" t="s">
        <v>479</v>
      </c>
      <c r="R185" s="150" t="str">
        <f t="shared" ca="1" si="62"/>
        <v>FIO DE COBRE, SOLIDO, CLASSE 1, ISOLACAO EM PVC/A, ANTICHAMA BWF-B, 450/750V, SECAO NOMINAL 2,5 MM2</v>
      </c>
      <c r="S185" s="151" t="str">
        <f t="shared" ca="1" si="63"/>
        <v xml:space="preserve">M     </v>
      </c>
      <c r="T185" s="152">
        <f ca="1">OFFSET(CÁLCULO!H$15,ROW($T185)-ROW(T$15),0)</f>
        <v>147.5</v>
      </c>
      <c r="U185" s="153">
        <v>1.18</v>
      </c>
      <c r="V185" s="154" t="s">
        <v>155</v>
      </c>
      <c r="W185" s="152">
        <f t="shared" ca="1" si="64"/>
        <v>1.5</v>
      </c>
      <c r="X185" s="155">
        <f t="shared" ca="1" si="65"/>
        <v>221.25</v>
      </c>
      <c r="Y185" s="156" t="s">
        <v>244</v>
      </c>
      <c r="Z185" t="str">
        <f t="shared" ca="1" si="66"/>
        <v>RA</v>
      </c>
      <c r="AA185" s="157">
        <f ca="1">IF($C185="S",IF($Z185="CP",$X185,IF($Z185="RA",(($X185)*QCI!$AA$3),0)),SomaAgrup)</f>
        <v>221.25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str">
        <f t="shared" ca="1" si="69"/>
        <v>SINAPI-I 939</v>
      </c>
      <c r="AF185" s="160">
        <f t="shared" ca="1" si="70"/>
        <v>8597</v>
      </c>
      <c r="AG185" s="550">
        <f t="shared" ca="1" si="71"/>
        <v>1.18</v>
      </c>
      <c r="AH185" s="551">
        <f t="shared" ca="1" si="72"/>
        <v>0.27350000000000002</v>
      </c>
      <c r="AJ185" s="553">
        <v>147.5</v>
      </c>
      <c r="AL185" s="574"/>
      <c r="AM185" s="431">
        <f t="shared" ca="1" si="73"/>
        <v>221.25</v>
      </c>
      <c r="AN185" s="617">
        <f t="shared" ca="1" si="74"/>
        <v>1.5</v>
      </c>
    </row>
    <row r="186" spans="1:40" ht="25.5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3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2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>F</v>
      </c>
      <c r="M186" s="145" t="s">
        <v>198</v>
      </c>
      <c r="N186" s="146" t="str">
        <f t="shared" ca="1" si="60"/>
        <v>Serviço</v>
      </c>
      <c r="O186" s="147" t="str">
        <f t="shared" ca="1" si="61"/>
        <v>3.5.2.</v>
      </c>
      <c r="P186" s="148" t="s">
        <v>452</v>
      </c>
      <c r="Q186" s="149" t="s">
        <v>480</v>
      </c>
      <c r="R186" s="150" t="str">
        <f t="shared" ca="1" si="62"/>
        <v>FIO DE COBRE, SOLIDO, CLASSE 1, ISOLACAO EM PVC/A, ANTICHAMA BWF-B, 450/750V, SECAO NOMINAL 4 MM2</v>
      </c>
      <c r="S186" s="151" t="str">
        <f t="shared" ca="1" si="63"/>
        <v xml:space="preserve">M     </v>
      </c>
      <c r="T186" s="152">
        <f ca="1">OFFSET(CÁLCULO!H$15,ROW($T186)-ROW(T$15),0)</f>
        <v>437</v>
      </c>
      <c r="U186" s="153">
        <v>2.02</v>
      </c>
      <c r="V186" s="154" t="s">
        <v>155</v>
      </c>
      <c r="W186" s="152">
        <f t="shared" ca="1" si="64"/>
        <v>2.57</v>
      </c>
      <c r="X186" s="155">
        <f t="shared" ca="1" si="65"/>
        <v>1123.0899999999999</v>
      </c>
      <c r="Y186" s="156" t="s">
        <v>244</v>
      </c>
      <c r="Z186" t="str">
        <f t="shared" ca="1" si="66"/>
        <v>RA</v>
      </c>
      <c r="AA186" s="157">
        <f ca="1">IF($C186="S",IF($Z186="CP",$X186,IF($Z186="RA",(($X186)*QCI!$AA$3),0)),SomaAgrup)</f>
        <v>1123.0899999999999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str">
        <f t="shared" ca="1" si="69"/>
        <v>SINAPI-I 944</v>
      </c>
      <c r="AF186" s="160">
        <f t="shared" ca="1" si="70"/>
        <v>8598</v>
      </c>
      <c r="AG186" s="550">
        <f t="shared" ca="1" si="71"/>
        <v>2.02</v>
      </c>
      <c r="AH186" s="551">
        <f t="shared" ca="1" si="72"/>
        <v>0.27350000000000002</v>
      </c>
      <c r="AJ186" s="553">
        <v>437</v>
      </c>
      <c r="AL186" s="574"/>
      <c r="AM186" s="431">
        <f t="shared" ca="1" si="73"/>
        <v>1123.0899999999999</v>
      </c>
      <c r="AN186" s="617">
        <f t="shared" ca="1" si="74"/>
        <v>2.57</v>
      </c>
    </row>
    <row r="187" spans="1:40" ht="25.5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3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3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>F</v>
      </c>
      <c r="M187" s="145" t="s">
        <v>198</v>
      </c>
      <c r="N187" s="146" t="str">
        <f t="shared" ca="1" si="60"/>
        <v>Serviço</v>
      </c>
      <c r="O187" s="147" t="str">
        <f t="shared" ca="1" si="61"/>
        <v>3.5.3.</v>
      </c>
      <c r="P187" s="148" t="s">
        <v>452</v>
      </c>
      <c r="Q187" s="149" t="s">
        <v>481</v>
      </c>
      <c r="R187" s="150" t="str">
        <f t="shared" ca="1" si="62"/>
        <v>FIO DE COBRE, SOLIDO, CLASSE 1, ISOLACAO EM PVC/A, ANTICHAMA BWF-B, 450/750V, SECAO NOMINAL 6 MM2</v>
      </c>
      <c r="S187" s="151" t="str">
        <f t="shared" ca="1" si="63"/>
        <v xml:space="preserve">M     </v>
      </c>
      <c r="T187" s="152">
        <f ca="1">OFFSET(CÁLCULO!H$15,ROW($T187)-ROW(T$15),0)</f>
        <v>40.799999999999997</v>
      </c>
      <c r="U187" s="153">
        <v>2.79</v>
      </c>
      <c r="V187" s="154" t="s">
        <v>155</v>
      </c>
      <c r="W187" s="152">
        <f t="shared" ca="1" si="64"/>
        <v>3.55</v>
      </c>
      <c r="X187" s="155">
        <f t="shared" ca="1" si="65"/>
        <v>144.84</v>
      </c>
      <c r="Y187" s="156" t="s">
        <v>244</v>
      </c>
      <c r="Z187" t="str">
        <f t="shared" ca="1" si="66"/>
        <v>RA</v>
      </c>
      <c r="AA187" s="157">
        <f ca="1">IF($C187="S",IF($Z187="CP",$X187,IF($Z187="RA",(($X187)*QCI!$AA$3),0)),SomaAgrup)</f>
        <v>144.84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str">
        <f t="shared" ca="1" si="69"/>
        <v>SINAPI-I 940</v>
      </c>
      <c r="AF187" s="160">
        <f t="shared" ca="1" si="70"/>
        <v>8599</v>
      </c>
      <c r="AG187" s="550">
        <f t="shared" ca="1" si="71"/>
        <v>2.79</v>
      </c>
      <c r="AH187" s="551">
        <f t="shared" ca="1" si="72"/>
        <v>0.27350000000000002</v>
      </c>
      <c r="AJ187" s="553">
        <v>40.799999999999997</v>
      </c>
      <c r="AL187" s="574"/>
      <c r="AM187" s="431">
        <f t="shared" ca="1" si="73"/>
        <v>144.84</v>
      </c>
      <c r="AN187" s="617">
        <f t="shared" ca="1" si="74"/>
        <v>3.55</v>
      </c>
    </row>
    <row r="188" spans="1:40" ht="38.25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3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4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>F</v>
      </c>
      <c r="M188" s="145" t="s">
        <v>198</v>
      </c>
      <c r="N188" s="146" t="str">
        <f t="shared" ca="1" si="60"/>
        <v>Serviço</v>
      </c>
      <c r="O188" s="147" t="str">
        <f t="shared" ca="1" si="61"/>
        <v>3.5.4.</v>
      </c>
      <c r="P188" s="148" t="s">
        <v>452</v>
      </c>
      <c r="Q188" s="149" t="s">
        <v>482</v>
      </c>
      <c r="R188" s="150" t="str">
        <f t="shared" ca="1" si="62"/>
        <v>INTERRUPTOR SIMPLES + INTERRUPTOR PARALELO 10A, 250V, CONJUNTO MONTADO PARA EMBUTIR 4" X 2" (PLACA + SUPORTE + MODULOS)</v>
      </c>
      <c r="S188" s="151" t="str">
        <f t="shared" ca="1" si="63"/>
        <v xml:space="preserve">UN    </v>
      </c>
      <c r="T188" s="152">
        <f ca="1">OFFSET(CÁLCULO!H$15,ROW($T188)-ROW(T$15),0)</f>
        <v>2</v>
      </c>
      <c r="U188" s="153">
        <v>15.33</v>
      </c>
      <c r="V188" s="154" t="s">
        <v>155</v>
      </c>
      <c r="W188" s="152">
        <f t="shared" ca="1" si="64"/>
        <v>19.52</v>
      </c>
      <c r="X188" s="155">
        <f t="shared" ca="1" si="65"/>
        <v>39.04</v>
      </c>
      <c r="Y188" s="156" t="s">
        <v>244</v>
      </c>
      <c r="Z188" t="str">
        <f t="shared" ca="1" si="66"/>
        <v>RA</v>
      </c>
      <c r="AA188" s="157">
        <f ca="1">IF($C188="S",IF($Z188="CP",$X188,IF($Z188="RA",(($X188)*QCI!$AA$3),0)),SomaAgrup)</f>
        <v>39.04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str">
        <f t="shared" ca="1" si="69"/>
        <v>SINAPI-I 38069</v>
      </c>
      <c r="AF188" s="160">
        <f t="shared" ca="1" si="70"/>
        <v>8835</v>
      </c>
      <c r="AG188" s="550">
        <f t="shared" ca="1" si="71"/>
        <v>15.33</v>
      </c>
      <c r="AH188" s="551">
        <f t="shared" ca="1" si="72"/>
        <v>0.27350000000000002</v>
      </c>
      <c r="AJ188" s="553">
        <v>2</v>
      </c>
      <c r="AL188" s="574"/>
      <c r="AM188" s="431">
        <f t="shared" ca="1" si="73"/>
        <v>39.04</v>
      </c>
      <c r="AN188" s="617">
        <f t="shared" ca="1" si="74"/>
        <v>19.52</v>
      </c>
    </row>
    <row r="189" spans="1:40" ht="25.5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3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5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>F</v>
      </c>
      <c r="M189" s="145" t="s">
        <v>198</v>
      </c>
      <c r="N189" s="146" t="str">
        <f t="shared" ca="1" si="60"/>
        <v>Serviço</v>
      </c>
      <c r="O189" s="147" t="str">
        <f t="shared" ca="1" si="61"/>
        <v>3.5.5.</v>
      </c>
      <c r="P189" s="148" t="s">
        <v>452</v>
      </c>
      <c r="Q189" s="149" t="s">
        <v>518</v>
      </c>
      <c r="R189" s="150" t="str">
        <f t="shared" ca="1" si="62"/>
        <v>TOMADA 2P+T 20A 250V, CONJUNTO MONTADO PARA EMBUTIR 4" X 2" (PLACA + SUPORTE + MODULO)</v>
      </c>
      <c r="S189" s="151" t="str">
        <f t="shared" ca="1" si="63"/>
        <v xml:space="preserve">UN    </v>
      </c>
      <c r="T189" s="152">
        <f ca="1">OFFSET(CÁLCULO!H$15,ROW($T189)-ROW(T$15),0)</f>
        <v>14</v>
      </c>
      <c r="U189" s="153">
        <v>15.59</v>
      </c>
      <c r="V189" s="154" t="s">
        <v>155</v>
      </c>
      <c r="W189" s="152">
        <f t="shared" ca="1" si="64"/>
        <v>19.850000000000001</v>
      </c>
      <c r="X189" s="155">
        <f t="shared" ca="1" si="65"/>
        <v>277.89999999999998</v>
      </c>
      <c r="Y189" s="156" t="s">
        <v>244</v>
      </c>
      <c r="Z189" t="str">
        <f t="shared" ca="1" si="66"/>
        <v>RA</v>
      </c>
      <c r="AA189" s="157">
        <f ca="1">IF($C189="S",IF($Z189="CP",$X189,IF($Z189="RA",(($X189)*QCI!$AA$3),0)),SomaAgrup)</f>
        <v>277.89999999999998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str">
        <f t="shared" ca="1" si="69"/>
        <v>SINAPI-I 38075</v>
      </c>
      <c r="AF189" s="160">
        <f t="shared" ca="1" si="70"/>
        <v>11018</v>
      </c>
      <c r="AG189" s="550">
        <f t="shared" ca="1" si="71"/>
        <v>15.59</v>
      </c>
      <c r="AH189" s="551">
        <f t="shared" ca="1" si="72"/>
        <v>0.27350000000000002</v>
      </c>
      <c r="AJ189" s="553">
        <v>14</v>
      </c>
      <c r="AL189" s="574"/>
      <c r="AM189" s="431">
        <f t="shared" ca="1" si="73"/>
        <v>277.89999999999998</v>
      </c>
      <c r="AN189" s="617">
        <f t="shared" ca="1" si="74"/>
        <v>19.850000000000001</v>
      </c>
    </row>
    <row r="190" spans="1:40" ht="25.5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3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6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>F</v>
      </c>
      <c r="M190" s="145" t="s">
        <v>198</v>
      </c>
      <c r="N190" s="146" t="str">
        <f t="shared" ca="1" si="60"/>
        <v>Serviço</v>
      </c>
      <c r="O190" s="147" t="str">
        <f t="shared" ca="1" si="61"/>
        <v>3.5.6.</v>
      </c>
      <c r="P190" s="148" t="s">
        <v>452</v>
      </c>
      <c r="Q190" s="149" t="s">
        <v>485</v>
      </c>
      <c r="R190" s="150" t="str">
        <f t="shared" ca="1" si="62"/>
        <v>QUADRO DE DISTRIBUICAO, SEM BARRAMENTO, EM PVC, DE SOBREPOR, PARA 6 DISJUNTORES NEMA OU 8 DISJUNTORES DIN</v>
      </c>
      <c r="S190" s="151" t="str">
        <f t="shared" ca="1" si="63"/>
        <v xml:space="preserve">UN    </v>
      </c>
      <c r="T190" s="152">
        <f ca="1">OFFSET(CÁLCULO!H$15,ROW($T190)-ROW(T$15),0)</f>
        <v>1</v>
      </c>
      <c r="U190" s="153">
        <v>48.26</v>
      </c>
      <c r="V190" s="154" t="s">
        <v>155</v>
      </c>
      <c r="W190" s="152">
        <f t="shared" ca="1" si="64"/>
        <v>61.46</v>
      </c>
      <c r="X190" s="155">
        <f t="shared" ca="1" si="65"/>
        <v>61.46</v>
      </c>
      <c r="Y190" s="156" t="s">
        <v>244</v>
      </c>
      <c r="Z190" t="str">
        <f t="shared" ca="1" si="66"/>
        <v>RA</v>
      </c>
      <c r="AA190" s="157">
        <f ca="1">IF($C190="S",IF($Z190="CP",$X190,IF($Z190="RA",(($X190)*QCI!$AA$3),0)),SomaAgrup)</f>
        <v>61.46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str">
        <f t="shared" ca="1" si="69"/>
        <v>SINAPI-I 39800</v>
      </c>
      <c r="AF190" s="160">
        <f t="shared" ca="1" si="70"/>
        <v>10280</v>
      </c>
      <c r="AG190" s="550">
        <f t="shared" ca="1" si="71"/>
        <v>48.26</v>
      </c>
      <c r="AH190" s="551">
        <f t="shared" ca="1" si="72"/>
        <v>0.27350000000000002</v>
      </c>
      <c r="AJ190" s="553">
        <v>1</v>
      </c>
      <c r="AL190" s="574"/>
      <c r="AM190" s="431">
        <f t="shared" ca="1" si="73"/>
        <v>61.46</v>
      </c>
      <c r="AN190" s="617">
        <f t="shared" ca="1" si="74"/>
        <v>61.46</v>
      </c>
    </row>
    <row r="191" spans="1:40" ht="25.5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3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7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>F</v>
      </c>
      <c r="M191" s="145" t="s">
        <v>198</v>
      </c>
      <c r="N191" s="146" t="str">
        <f t="shared" ca="1" si="60"/>
        <v>Serviço</v>
      </c>
      <c r="O191" s="147" t="str">
        <f t="shared" ca="1" si="61"/>
        <v>3.5.7.</v>
      </c>
      <c r="P191" s="148" t="s">
        <v>452</v>
      </c>
      <c r="Q191" s="149" t="s">
        <v>486</v>
      </c>
      <c r="R191" s="150" t="str">
        <f t="shared" ca="1" si="62"/>
        <v>SOQUETE DE PORCELANA BASE E27, FIXO DE TETO, PARA LAMPADAS</v>
      </c>
      <c r="S191" s="151" t="str">
        <f t="shared" ca="1" si="63"/>
        <v xml:space="preserve">UN    </v>
      </c>
      <c r="T191" s="152">
        <f ca="1">OFFSET(CÁLCULO!H$15,ROW($T191)-ROW(T$15),0)</f>
        <v>9</v>
      </c>
      <c r="U191" s="153">
        <v>3.17</v>
      </c>
      <c r="V191" s="154" t="s">
        <v>155</v>
      </c>
      <c r="W191" s="152">
        <f t="shared" ca="1" si="64"/>
        <v>4.04</v>
      </c>
      <c r="X191" s="155">
        <f t="shared" ca="1" si="65"/>
        <v>36.36</v>
      </c>
      <c r="Y191" s="156" t="s">
        <v>244</v>
      </c>
      <c r="Z191" t="str">
        <f t="shared" ca="1" si="66"/>
        <v>RA</v>
      </c>
      <c r="AA191" s="157">
        <f ca="1">IF($C191="S",IF($Z191="CP",$X191,IF($Z191="RA",(($X191)*QCI!$AA$3),0)),SomaAgrup)</f>
        <v>36.36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str">
        <f t="shared" ca="1" si="69"/>
        <v>SINAPI-I 12296</v>
      </c>
      <c r="AF191" s="160">
        <f t="shared" ca="1" si="70"/>
        <v>10522</v>
      </c>
      <c r="AG191" s="550">
        <f t="shared" ca="1" si="71"/>
        <v>3.17</v>
      </c>
      <c r="AH191" s="551">
        <f t="shared" ca="1" si="72"/>
        <v>0.27350000000000002</v>
      </c>
      <c r="AJ191" s="553">
        <v>9</v>
      </c>
      <c r="AL191" s="574"/>
      <c r="AM191" s="431">
        <f t="shared" ca="1" si="73"/>
        <v>36.36</v>
      </c>
      <c r="AN191" s="617">
        <f t="shared" ca="1" si="74"/>
        <v>4.04</v>
      </c>
    </row>
    <row r="192" spans="1:40" ht="25.5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3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8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>F</v>
      </c>
      <c r="M192" s="145" t="s">
        <v>198</v>
      </c>
      <c r="N192" s="146" t="str">
        <f t="shared" ca="1" si="60"/>
        <v>Serviço</v>
      </c>
      <c r="O192" s="147" t="str">
        <f t="shared" ca="1" si="61"/>
        <v>3.5.8.</v>
      </c>
      <c r="P192" s="148" t="s">
        <v>452</v>
      </c>
      <c r="Q192" s="149" t="s">
        <v>487</v>
      </c>
      <c r="R192" s="150" t="str">
        <f t="shared" ca="1" si="62"/>
        <v>LAMPADA FLUORESCENTE ESPIRAL BRANCA 45 W, BASE E27 (127/220 V)</v>
      </c>
      <c r="S192" s="151" t="str">
        <f t="shared" ca="1" si="63"/>
        <v xml:space="preserve">UN    </v>
      </c>
      <c r="T192" s="152">
        <f ca="1">OFFSET(CÁLCULO!H$15,ROW($T192)-ROW(T$15),0)</f>
        <v>9</v>
      </c>
      <c r="U192" s="153">
        <v>49.06</v>
      </c>
      <c r="V192" s="154" t="s">
        <v>155</v>
      </c>
      <c r="W192" s="152">
        <f t="shared" ca="1" si="64"/>
        <v>62.48</v>
      </c>
      <c r="X192" s="155">
        <f t="shared" ca="1" si="65"/>
        <v>562.32000000000005</v>
      </c>
      <c r="Y192" s="156" t="s">
        <v>244</v>
      </c>
      <c r="Z192" t="str">
        <f t="shared" ca="1" si="66"/>
        <v>RA</v>
      </c>
      <c r="AA192" s="157">
        <f ca="1">IF($C192="S",IF($Z192="CP",$X192,IF($Z192="RA",(($X192)*QCI!$AA$3),0)),SomaAgrup)</f>
        <v>562.32000000000005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str">
        <f t="shared" ca="1" si="69"/>
        <v>SINAPI-I 38781</v>
      </c>
      <c r="AF192" s="160">
        <f t="shared" ca="1" si="70"/>
        <v>9144</v>
      </c>
      <c r="AG192" s="550">
        <f t="shared" ca="1" si="71"/>
        <v>49.06</v>
      </c>
      <c r="AH192" s="551">
        <f t="shared" ca="1" si="72"/>
        <v>0.27350000000000002</v>
      </c>
      <c r="AJ192" s="553">
        <v>9</v>
      </c>
      <c r="AL192" s="574"/>
      <c r="AM192" s="431">
        <f t="shared" ca="1" si="73"/>
        <v>562.32000000000005</v>
      </c>
      <c r="AN192" s="617">
        <f t="shared" ca="1" si="74"/>
        <v>62.48</v>
      </c>
    </row>
    <row r="193" spans="1:40" ht="38.25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3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9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>F</v>
      </c>
      <c r="M193" s="145" t="s">
        <v>198</v>
      </c>
      <c r="N193" s="146" t="str">
        <f t="shared" ca="1" si="60"/>
        <v>Serviço</v>
      </c>
      <c r="O193" s="147" t="str">
        <f t="shared" ca="1" si="61"/>
        <v>3.5.9.</v>
      </c>
      <c r="P193" s="148" t="s">
        <v>246</v>
      </c>
      <c r="Q193" s="149" t="s">
        <v>488</v>
      </c>
      <c r="R193" s="150" t="str">
        <f t="shared" ca="1" si="62"/>
        <v>ELETRODUTO RÍGIDO ROSCÁVEL, PVC, DN 25 MM (3/4"), PARA CIRCUITOS TERMINAIS, INSTALADO EM FORRO - FORNECIMENTO E INSTALAÇÃO. AF_12/2015</v>
      </c>
      <c r="S193" s="151" t="str">
        <f t="shared" ca="1" si="63"/>
        <v>M</v>
      </c>
      <c r="T193" s="152">
        <f ca="1">OFFSET(CÁLCULO!H$15,ROW($T193)-ROW(T$15),0)</f>
        <v>32</v>
      </c>
      <c r="U193" s="153">
        <v>8.58</v>
      </c>
      <c r="V193" s="154" t="s">
        <v>155</v>
      </c>
      <c r="W193" s="152">
        <f t="shared" ca="1" si="64"/>
        <v>10.93</v>
      </c>
      <c r="X193" s="155">
        <f t="shared" ca="1" si="65"/>
        <v>349.76</v>
      </c>
      <c r="Y193" s="156" t="s">
        <v>244</v>
      </c>
      <c r="Z193" t="str">
        <f t="shared" ca="1" si="66"/>
        <v>RA</v>
      </c>
      <c r="AA193" s="157">
        <f ca="1">IF($C193="S",IF($Z193="CP",$X193,IF($Z193="RA",(($X193)*QCI!$AA$3),0)),SomaAgrup)</f>
        <v>349.76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str">
        <f t="shared" ca="1" si="69"/>
        <v>SINAPI 91863</v>
      </c>
      <c r="AF193" s="160">
        <f t="shared" ca="1" si="70"/>
        <v>2471</v>
      </c>
      <c r="AG193" s="550">
        <f t="shared" ca="1" si="71"/>
        <v>8.58</v>
      </c>
      <c r="AH193" s="551">
        <f t="shared" ca="1" si="72"/>
        <v>0.27350000000000002</v>
      </c>
      <c r="AJ193" s="553">
        <v>32</v>
      </c>
      <c r="AL193" s="574"/>
      <c r="AM193" s="431">
        <f t="shared" ca="1" si="73"/>
        <v>349.76</v>
      </c>
      <c r="AN193" s="617">
        <f t="shared" ca="1" si="74"/>
        <v>10.93</v>
      </c>
    </row>
    <row r="194" spans="1:40" ht="25.5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3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10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>F</v>
      </c>
      <c r="M194" s="145" t="s">
        <v>198</v>
      </c>
      <c r="N194" s="146" t="str">
        <f t="shared" ca="1" si="60"/>
        <v>Serviço</v>
      </c>
      <c r="O194" s="147" t="str">
        <f t="shared" ca="1" si="61"/>
        <v>3.5.10.</v>
      </c>
      <c r="P194" s="148" t="s">
        <v>246</v>
      </c>
      <c r="Q194" s="149" t="s">
        <v>489</v>
      </c>
      <c r="R194" s="150" t="str">
        <f t="shared" ca="1" si="62"/>
        <v>RASGO EM ALVENARIA PARA ELETRODUTOS COM DIAMETROS MENORES OU IGUAIS A 40 MM. AF_05/2015</v>
      </c>
      <c r="S194" s="151" t="str">
        <f t="shared" ca="1" si="63"/>
        <v>M</v>
      </c>
      <c r="T194" s="152">
        <f ca="1">OFFSET(CÁLCULO!H$15,ROW($T194)-ROW(T$15),0)</f>
        <v>32</v>
      </c>
      <c r="U194" s="153">
        <v>5.44</v>
      </c>
      <c r="V194" s="154" t="s">
        <v>155</v>
      </c>
      <c r="W194" s="152">
        <f t="shared" ca="1" si="64"/>
        <v>6.93</v>
      </c>
      <c r="X194" s="155">
        <f t="shared" ca="1" si="65"/>
        <v>221.76</v>
      </c>
      <c r="Y194" s="156" t="s">
        <v>244</v>
      </c>
      <c r="Z194" t="str">
        <f t="shared" ca="1" si="66"/>
        <v>RA</v>
      </c>
      <c r="AA194" s="157">
        <f ca="1">IF($C194="S",IF($Z194="CP",$X194,IF($Z194="RA",(($X194)*QCI!$AA$3),0)),SomaAgrup)</f>
        <v>221.76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str">
        <f t="shared" ca="1" si="69"/>
        <v>SINAPI 90447</v>
      </c>
      <c r="AF194" s="160">
        <f t="shared" ca="1" si="70"/>
        <v>4637</v>
      </c>
      <c r="AG194" s="550">
        <f t="shared" ca="1" si="71"/>
        <v>5.44</v>
      </c>
      <c r="AH194" s="551">
        <f t="shared" ca="1" si="72"/>
        <v>0.27350000000000002</v>
      </c>
      <c r="AJ194" s="553">
        <v>32</v>
      </c>
      <c r="AL194" s="574"/>
      <c r="AM194" s="431">
        <f t="shared" ca="1" si="73"/>
        <v>221.76</v>
      </c>
      <c r="AN194" s="617">
        <f t="shared" ca="1" si="74"/>
        <v>6.93</v>
      </c>
    </row>
    <row r="195" spans="1:40" ht="25.5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3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11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>F</v>
      </c>
      <c r="M195" s="145" t="s">
        <v>198</v>
      </c>
      <c r="N195" s="146" t="str">
        <f t="shared" ca="1" si="60"/>
        <v>Serviço</v>
      </c>
      <c r="O195" s="147" t="str">
        <f t="shared" ca="1" si="61"/>
        <v>3.5.11.</v>
      </c>
      <c r="P195" s="148" t="s">
        <v>246</v>
      </c>
      <c r="Q195" s="149" t="s">
        <v>491</v>
      </c>
      <c r="R195" s="150" t="str">
        <f t="shared" ca="1" si="62"/>
        <v>DISJUNTOR MONOPOLAR TIPO DIN, CORRENTE NOMINAL DE 25A - FORNECIMENTO E INSTALAÇÃO. AF_04/2016</v>
      </c>
      <c r="S195" s="151" t="str">
        <f t="shared" ca="1" si="63"/>
        <v>UN</v>
      </c>
      <c r="T195" s="152">
        <f ca="1">OFFSET(CÁLCULO!H$15,ROW($T195)-ROW(T$15),0)</f>
        <v>7</v>
      </c>
      <c r="U195" s="153">
        <v>12.6</v>
      </c>
      <c r="V195" s="154" t="s">
        <v>155</v>
      </c>
      <c r="W195" s="152">
        <f t="shared" ca="1" si="64"/>
        <v>16.05</v>
      </c>
      <c r="X195" s="155">
        <f t="shared" ca="1" si="65"/>
        <v>112.35</v>
      </c>
      <c r="Y195" s="156" t="s">
        <v>244</v>
      </c>
      <c r="Z195" t="str">
        <f t="shared" ca="1" si="66"/>
        <v>RA</v>
      </c>
      <c r="AA195" s="157">
        <f ca="1">IF($C195="S",IF($Z195="CP",$X195,IF($Z195="RA",(($X195)*QCI!$AA$3),0)),SomaAgrup)</f>
        <v>112.35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str">
        <f t="shared" ca="1" si="69"/>
        <v>SINAPI 93656</v>
      </c>
      <c r="AF195" s="160">
        <f t="shared" ca="1" si="70"/>
        <v>2688</v>
      </c>
      <c r="AG195" s="550">
        <f t="shared" ca="1" si="71"/>
        <v>12.6</v>
      </c>
      <c r="AH195" s="551">
        <f t="shared" ca="1" si="72"/>
        <v>0.27350000000000002</v>
      </c>
      <c r="AJ195" s="553">
        <v>7</v>
      </c>
      <c r="AL195" s="574"/>
      <c r="AM195" s="431">
        <f t="shared" ca="1" si="73"/>
        <v>112.35</v>
      </c>
      <c r="AN195" s="617">
        <f t="shared" ca="1" si="74"/>
        <v>16.05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3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11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0.27350000000000002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x14ac:dyDescent="0.2">
      <c r="A197">
        <f t="shared" si="50"/>
        <v>2</v>
      </c>
      <c r="B197">
        <f t="shared" ca="1" si="51"/>
        <v>2</v>
      </c>
      <c r="C197">
        <f t="shared" ca="1" si="52"/>
        <v>2</v>
      </c>
      <c r="D197">
        <f t="shared" ca="1" si="53"/>
        <v>15</v>
      </c>
      <c r="E197">
        <f ca="1">IF($C197=1,OFFSET(E197,-1,0)+MAX(1,COUNTIF(QCI!$A$13:$A$24,OFFSET(ORÇAMENTO!E197,-1,0))),OFFSET(E197,-1,0))</f>
        <v>3</v>
      </c>
      <c r="F197">
        <f t="shared" ca="1" si="54"/>
        <v>6</v>
      </c>
      <c r="G197">
        <f t="shared" ca="1" si="55"/>
        <v>0</v>
      </c>
      <c r="H197">
        <f t="shared" ca="1" si="56"/>
        <v>0</v>
      </c>
      <c r="I197">
        <f t="shared" ca="1" si="57"/>
        <v>0</v>
      </c>
      <c r="J197">
        <f t="shared" ca="1" si="58"/>
        <v>25</v>
      </c>
      <c r="K197">
        <f ca="1">IF(OR($C197="S",$C197=0),0,MATCH(OFFSET($D197,0,$C197)+IF($C197&lt;&gt;1,1,COUNTIF(QCI!$A$13:$A$24,ORÇAMENTO!E197)),OFFSET($D197,1,$C197,ROW($C$266)-ROW($C197)),0))</f>
        <v>15</v>
      </c>
      <c r="L197" s="144" t="str">
        <f t="shared" ca="1" si="59"/>
        <v>F</v>
      </c>
      <c r="M197" s="145" t="s">
        <v>195</v>
      </c>
      <c r="N197" s="146" t="str">
        <f t="shared" ca="1" si="60"/>
        <v>Nível 2</v>
      </c>
      <c r="O197" s="147" t="str">
        <f t="shared" ca="1" si="61"/>
        <v>3.6.</v>
      </c>
      <c r="P197" s="148" t="s">
        <v>246</v>
      </c>
      <c r="Q197" s="149"/>
      <c r="R197" s="150" t="str">
        <f ca="1">IF($C197="S",REFERENCIA.Descricao,"(INSTALAÇÕES HIDRAULICAS)")</f>
        <v>(INSTALAÇÕES HIDRAULICAS)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3236.2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3236.2</v>
      </c>
      <c r="AB197" s="158">
        <f t="shared" ca="1" si="67"/>
        <v>0</v>
      </c>
      <c r="AC197" s="159" t="str">
        <f t="shared" ca="1" si="68"/>
        <v/>
      </c>
      <c r="AD197" s="105">
        <f ca="1">IF(C197&lt;=CRONO.NivelExibicao,MAX($AD$15:OFFSET(AD197,-1,0))+IF($C197&lt;&gt;1,1,MAX(1,COUNTIF(QCI!$A$13:$A$24,OFFSET($E197,-1,0)))),"")</f>
        <v>21</v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0.27350000000000002</v>
      </c>
      <c r="AJ197" s="553"/>
      <c r="AL197" s="574"/>
      <c r="AM197" s="431">
        <f t="shared" ca="1" si="73"/>
        <v>3236.2</v>
      </c>
      <c r="AN197" s="617">
        <f t="shared" ca="1" si="74"/>
        <v>0</v>
      </c>
    </row>
    <row r="198" spans="1:40" ht="38.25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3</v>
      </c>
      <c r="F198">
        <f t="shared" ca="1" si="54"/>
        <v>6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>F</v>
      </c>
      <c r="M198" s="145" t="s">
        <v>198</v>
      </c>
      <c r="N198" s="146" t="str">
        <f t="shared" ca="1" si="60"/>
        <v>Serviço</v>
      </c>
      <c r="O198" s="147" t="str">
        <f t="shared" ca="1" si="61"/>
        <v>3.6.1.</v>
      </c>
      <c r="P198" s="148" t="s">
        <v>246</v>
      </c>
      <c r="Q198" s="149" t="s">
        <v>492</v>
      </c>
      <c r="R198" s="150" t="str">
        <f t="shared" ca="1" si="62"/>
        <v>TUBO PVC, SERIE NORMAL, ESGOTO PREDIAL, DN 100 MM, FORNECIDO E INSTALADO EM RAMAL DE DESCARGA OU RAMAL DE ESGOTO SANITÁRIO. AF_12/2014</v>
      </c>
      <c r="S198" s="151" t="str">
        <f t="shared" ca="1" si="63"/>
        <v>M</v>
      </c>
      <c r="T198" s="152">
        <f ca="1">OFFSET(CÁLCULO!H$15,ROW($T198)-ROW(T$15),0)</f>
        <v>23</v>
      </c>
      <c r="U198" s="153">
        <v>44.13</v>
      </c>
      <c r="V198" s="154" t="s">
        <v>155</v>
      </c>
      <c r="W198" s="152">
        <f t="shared" ca="1" si="64"/>
        <v>56.2</v>
      </c>
      <c r="X198" s="155">
        <f t="shared" ca="1" si="65"/>
        <v>1292.5999999999999</v>
      </c>
      <c r="Y198" s="156" t="s">
        <v>244</v>
      </c>
      <c r="Z198" t="str">
        <f t="shared" ca="1" si="66"/>
        <v>RA</v>
      </c>
      <c r="AA198" s="157">
        <f ca="1">IF($C198="S",IF($Z198="CP",$X198,IF($Z198="RA",(($X198)*QCI!$AA$3),0)),SomaAgrup)</f>
        <v>1292.5999999999999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str">
        <f t="shared" ca="1" si="69"/>
        <v>SINAPI 89714</v>
      </c>
      <c r="AF198" s="160">
        <f t="shared" ca="1" si="70"/>
        <v>3068</v>
      </c>
      <c r="AG198" s="550">
        <f t="shared" ca="1" si="71"/>
        <v>44.13</v>
      </c>
      <c r="AH198" s="551">
        <f t="shared" ca="1" si="72"/>
        <v>0.27350000000000002</v>
      </c>
      <c r="AJ198" s="553">
        <v>23</v>
      </c>
      <c r="AL198" s="574"/>
      <c r="AM198" s="431">
        <f t="shared" ca="1" si="73"/>
        <v>1292.5999999999999</v>
      </c>
      <c r="AN198" s="617">
        <f t="shared" ca="1" si="74"/>
        <v>56.2</v>
      </c>
    </row>
    <row r="199" spans="1:40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3</v>
      </c>
      <c r="F199">
        <f t="shared" ca="1" si="54"/>
        <v>6</v>
      </c>
      <c r="G199">
        <f t="shared" ca="1" si="55"/>
        <v>0</v>
      </c>
      <c r="H199">
        <f t="shared" ca="1" si="56"/>
        <v>0</v>
      </c>
      <c r="I199">
        <f t="shared" ca="1" si="57"/>
        <v>2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>F</v>
      </c>
      <c r="M199" s="145" t="s">
        <v>198</v>
      </c>
      <c r="N199" s="146" t="str">
        <f t="shared" ca="1" si="60"/>
        <v>Serviço</v>
      </c>
      <c r="O199" s="147" t="str">
        <f t="shared" ca="1" si="61"/>
        <v>3.6.2.</v>
      </c>
      <c r="P199" s="148" t="s">
        <v>452</v>
      </c>
      <c r="Q199" s="149" t="s">
        <v>493</v>
      </c>
      <c r="R199" s="150" t="str">
        <f t="shared" ca="1" si="62"/>
        <v>TUBO PVC, SOLDAVEL, DN 25 MM, AGUA FRIA (NBR-5648)</v>
      </c>
      <c r="S199" s="151" t="str">
        <f t="shared" ca="1" si="63"/>
        <v xml:space="preserve">M     </v>
      </c>
      <c r="T199" s="152">
        <f ca="1">OFFSET(CÁLCULO!H$15,ROW($T199)-ROW(T$15),0)</f>
        <v>32</v>
      </c>
      <c r="U199" s="153">
        <v>2.5</v>
      </c>
      <c r="V199" s="154" t="s">
        <v>155</v>
      </c>
      <c r="W199" s="152">
        <f t="shared" ca="1" si="64"/>
        <v>3.18</v>
      </c>
      <c r="X199" s="155">
        <f t="shared" ca="1" si="65"/>
        <v>101.76</v>
      </c>
      <c r="Y199" s="156" t="s">
        <v>244</v>
      </c>
      <c r="Z199" t="str">
        <f t="shared" ca="1" si="66"/>
        <v>RA</v>
      </c>
      <c r="AA199" s="157">
        <f ca="1">IF($C199="S",IF($Z199="CP",$X199,IF($Z199="RA",(($X199)*QCI!$AA$3),0)),SomaAgrup)</f>
        <v>101.76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str">
        <f t="shared" ca="1" si="69"/>
        <v>SINAPI-I 9868</v>
      </c>
      <c r="AF199" s="160">
        <f t="shared" ca="1" si="70"/>
        <v>11395</v>
      </c>
      <c r="AG199" s="550">
        <f t="shared" ca="1" si="71"/>
        <v>2.5</v>
      </c>
      <c r="AH199" s="551">
        <f t="shared" ca="1" si="72"/>
        <v>0.27350000000000002</v>
      </c>
      <c r="AJ199" s="553">
        <v>32</v>
      </c>
      <c r="AL199" s="574"/>
      <c r="AM199" s="431">
        <f t="shared" ca="1" si="73"/>
        <v>101.76</v>
      </c>
      <c r="AN199" s="617">
        <f t="shared" ca="1" si="74"/>
        <v>3.18</v>
      </c>
    </row>
    <row r="200" spans="1:40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3</v>
      </c>
      <c r="F200">
        <f t="shared" ca="1" si="54"/>
        <v>6</v>
      </c>
      <c r="G200">
        <f t="shared" ca="1" si="55"/>
        <v>0</v>
      </c>
      <c r="H200">
        <f t="shared" ca="1" si="56"/>
        <v>0</v>
      </c>
      <c r="I200">
        <f t="shared" ca="1" si="57"/>
        <v>3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>F</v>
      </c>
      <c r="M200" s="145" t="s">
        <v>198</v>
      </c>
      <c r="N200" s="146" t="str">
        <f t="shared" ca="1" si="60"/>
        <v>Serviço</v>
      </c>
      <c r="O200" s="147" t="str">
        <f t="shared" ca="1" si="61"/>
        <v>3.6.3.</v>
      </c>
      <c r="P200" s="148" t="s">
        <v>246</v>
      </c>
      <c r="Q200" s="149" t="s">
        <v>495</v>
      </c>
      <c r="R200" s="150" t="str">
        <f t="shared" ca="1" si="62"/>
        <v>CAIXA DE PASSAGEM 30X30X40 COM TAMPA E DRENO BRITA</v>
      </c>
      <c r="S200" s="151" t="str">
        <f t="shared" ca="1" si="63"/>
        <v>UN</v>
      </c>
      <c r="T200" s="152">
        <f ca="1">OFFSET(CÁLCULO!H$15,ROW($T200)-ROW(T$15),0)</f>
        <v>4</v>
      </c>
      <c r="U200" s="153">
        <v>157.83000000000001</v>
      </c>
      <c r="V200" s="154" t="s">
        <v>155</v>
      </c>
      <c r="W200" s="152">
        <f t="shared" ca="1" si="64"/>
        <v>201</v>
      </c>
      <c r="X200" s="155">
        <f t="shared" ca="1" si="65"/>
        <v>804</v>
      </c>
      <c r="Y200" s="156" t="s">
        <v>244</v>
      </c>
      <c r="Z200" t="str">
        <f t="shared" ca="1" si="66"/>
        <v>RA</v>
      </c>
      <c r="AA200" s="157">
        <f ca="1">IF($C200="S",IF($Z200="CP",$X200,IF($Z200="RA",(($X200)*QCI!$AA$3),0)),SomaAgrup)</f>
        <v>804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str">
        <f t="shared" ca="1" si="69"/>
        <v>SINAPI 83446</v>
      </c>
      <c r="AF200" s="160">
        <f t="shared" ca="1" si="70"/>
        <v>2604</v>
      </c>
      <c r="AG200" s="550">
        <f t="shared" ca="1" si="71"/>
        <v>157.83000000000001</v>
      </c>
      <c r="AH200" s="551">
        <f t="shared" ca="1" si="72"/>
        <v>0.27350000000000002</v>
      </c>
      <c r="AJ200" s="553">
        <v>4</v>
      </c>
      <c r="AL200" s="574"/>
      <c r="AM200" s="431">
        <f t="shared" ca="1" si="73"/>
        <v>804</v>
      </c>
      <c r="AN200" s="617">
        <f t="shared" ca="1" si="74"/>
        <v>201</v>
      </c>
    </row>
    <row r="201" spans="1:40" ht="38.25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3</v>
      </c>
      <c r="F201">
        <f t="shared" ca="1" si="54"/>
        <v>6</v>
      </c>
      <c r="G201">
        <f t="shared" ca="1" si="55"/>
        <v>0</v>
      </c>
      <c r="H201">
        <f t="shared" ca="1" si="56"/>
        <v>0</v>
      </c>
      <c r="I201">
        <f t="shared" ca="1" si="57"/>
        <v>4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>F</v>
      </c>
      <c r="M201" s="145" t="s">
        <v>198</v>
      </c>
      <c r="N201" s="146" t="str">
        <f t="shared" ca="1" si="60"/>
        <v>Serviço</v>
      </c>
      <c r="O201" s="147" t="str">
        <f t="shared" ca="1" si="61"/>
        <v>3.6.4.</v>
      </c>
      <c r="P201" s="148" t="s">
        <v>246</v>
      </c>
      <c r="Q201" s="149" t="s">
        <v>497</v>
      </c>
      <c r="R201" s="150" t="str">
        <f t="shared" ca="1" si="62"/>
        <v>CAIXA SIFONADA, PVC, DN 100 X 100 X 50 MM, JUNTA ELÁSTICA, FORNECIDA E INSTALADA EM RAMAL DE DESCARGA OU EM RAMAL DE ESGOTO SANITÁRIO. AF_12/2014</v>
      </c>
      <c r="S201" s="151" t="str">
        <f t="shared" ca="1" si="63"/>
        <v>UN</v>
      </c>
      <c r="T201" s="152">
        <f ca="1">OFFSET(CÁLCULO!H$15,ROW($T201)-ROW(T$15),0)</f>
        <v>2</v>
      </c>
      <c r="U201" s="153">
        <v>25.92</v>
      </c>
      <c r="V201" s="154" t="s">
        <v>155</v>
      </c>
      <c r="W201" s="152">
        <f t="shared" ca="1" si="64"/>
        <v>33.01</v>
      </c>
      <c r="X201" s="155">
        <f t="shared" ca="1" si="65"/>
        <v>66.02</v>
      </c>
      <c r="Y201" s="156" t="s">
        <v>244</v>
      </c>
      <c r="Z201" t="str">
        <f t="shared" ca="1" si="66"/>
        <v>RA</v>
      </c>
      <c r="AA201" s="157">
        <f ca="1">IF($C201="S",IF($Z201="CP",$X201,IF($Z201="RA",(($X201)*QCI!$AA$3),0)),SomaAgrup)</f>
        <v>66.02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str">
        <f t="shared" ca="1" si="69"/>
        <v>SINAPI 89707</v>
      </c>
      <c r="AF201" s="160">
        <f t="shared" ca="1" si="70"/>
        <v>4398</v>
      </c>
      <c r="AG201" s="550">
        <f t="shared" ca="1" si="71"/>
        <v>25.92</v>
      </c>
      <c r="AH201" s="551">
        <f t="shared" ca="1" si="72"/>
        <v>0.27350000000000002</v>
      </c>
      <c r="AJ201" s="553">
        <v>2</v>
      </c>
      <c r="AL201" s="574"/>
      <c r="AM201" s="431">
        <f t="shared" ca="1" si="73"/>
        <v>66.02</v>
      </c>
      <c r="AN201" s="617">
        <f t="shared" ca="1" si="74"/>
        <v>33.01</v>
      </c>
    </row>
    <row r="202" spans="1:40" ht="38.25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3</v>
      </c>
      <c r="F202">
        <f t="shared" ca="1" si="54"/>
        <v>6</v>
      </c>
      <c r="G202">
        <f t="shared" ca="1" si="55"/>
        <v>0</v>
      </c>
      <c r="H202">
        <f t="shared" ca="1" si="56"/>
        <v>0</v>
      </c>
      <c r="I202">
        <f t="shared" ca="1" si="57"/>
        <v>5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>F</v>
      </c>
      <c r="M202" s="145" t="s">
        <v>198</v>
      </c>
      <c r="N202" s="146" t="str">
        <f t="shared" ca="1" si="60"/>
        <v>Serviço</v>
      </c>
      <c r="O202" s="147" t="str">
        <f t="shared" ca="1" si="61"/>
        <v>3.6.5.</v>
      </c>
      <c r="P202" s="148" t="s">
        <v>246</v>
      </c>
      <c r="Q202" s="149" t="s">
        <v>498</v>
      </c>
      <c r="R202" s="150" t="str">
        <f t="shared" ca="1" si="62"/>
        <v>TE, PVC, SOLDÁVEL, DN 25MM, INSTALADO EM RAMAL DE DISTRIBUIÇÃO DE ÁGUA - FORNECIMENTO E INSTALAÇÃO. AF_12/2014</v>
      </c>
      <c r="S202" s="151" t="str">
        <f t="shared" ca="1" si="63"/>
        <v>UN</v>
      </c>
      <c r="T202" s="152">
        <f ca="1">OFFSET(CÁLCULO!H$15,ROW($T202)-ROW(T$15),0)</f>
        <v>8</v>
      </c>
      <c r="U202" s="153">
        <v>6.8</v>
      </c>
      <c r="V202" s="154" t="s">
        <v>155</v>
      </c>
      <c r="W202" s="152">
        <f t="shared" ca="1" si="64"/>
        <v>8.66</v>
      </c>
      <c r="X202" s="155">
        <f t="shared" ca="1" si="65"/>
        <v>69.28</v>
      </c>
      <c r="Y202" s="156" t="s">
        <v>244</v>
      </c>
      <c r="Z202" t="str">
        <f t="shared" ca="1" si="66"/>
        <v>RA</v>
      </c>
      <c r="AA202" s="157">
        <f ca="1">IF($C202="S",IF($Z202="CP",$X202,IF($Z202="RA",(($X202)*QCI!$AA$3),0)),SomaAgrup)</f>
        <v>69.28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str">
        <f t="shared" ca="1" si="69"/>
        <v>SINAPI 89440</v>
      </c>
      <c r="AF202" s="160">
        <f t="shared" ca="1" si="70"/>
        <v>3357</v>
      </c>
      <c r="AG202" s="550">
        <f t="shared" ca="1" si="71"/>
        <v>6.8</v>
      </c>
      <c r="AH202" s="551">
        <f t="shared" ca="1" si="72"/>
        <v>0.27350000000000002</v>
      </c>
      <c r="AJ202" s="553">
        <v>8</v>
      </c>
      <c r="AL202" s="574"/>
      <c r="AM202" s="431">
        <f t="shared" ca="1" si="73"/>
        <v>69.28</v>
      </c>
      <c r="AN202" s="617">
        <f t="shared" ca="1" si="74"/>
        <v>8.66</v>
      </c>
    </row>
    <row r="203" spans="1:40" ht="38.25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3</v>
      </c>
      <c r="F203">
        <f t="shared" ca="1" si="54"/>
        <v>6</v>
      </c>
      <c r="G203">
        <f t="shared" ca="1" si="55"/>
        <v>0</v>
      </c>
      <c r="H203">
        <f t="shared" ca="1" si="56"/>
        <v>0</v>
      </c>
      <c r="I203">
        <f t="shared" ca="1" si="57"/>
        <v>6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>F</v>
      </c>
      <c r="M203" s="145" t="s">
        <v>198</v>
      </c>
      <c r="N203" s="146" t="str">
        <f t="shared" ca="1" si="60"/>
        <v>Serviço</v>
      </c>
      <c r="O203" s="147" t="str">
        <f t="shared" ca="1" si="61"/>
        <v>3.6.6.</v>
      </c>
      <c r="P203" s="148" t="s">
        <v>246</v>
      </c>
      <c r="Q203" s="149" t="s">
        <v>499</v>
      </c>
      <c r="R203" s="150" t="str">
        <f t="shared" ca="1" si="62"/>
        <v>JOELHO 90 GRAUS, PVC, SERIE NORMAL, ESGOTO PREDIAL, DN 100 MM, JUNTA ELÁSTICA, FORNECIDO E INSTALADO EM RAMAL DE DESCARGA OU RAMAL DE ESGOTO SANITÁRIO. AF_12/2014</v>
      </c>
      <c r="S203" s="151" t="str">
        <f t="shared" ca="1" si="63"/>
        <v>UN</v>
      </c>
      <c r="T203" s="152">
        <f ca="1">OFFSET(CÁLCULO!H$15,ROW($T203)-ROW(T$15),0)</f>
        <v>8</v>
      </c>
      <c r="U203" s="153">
        <v>18.23</v>
      </c>
      <c r="V203" s="154" t="s">
        <v>155</v>
      </c>
      <c r="W203" s="152">
        <f t="shared" ca="1" si="64"/>
        <v>23.22</v>
      </c>
      <c r="X203" s="155">
        <f t="shared" ca="1" si="65"/>
        <v>185.76</v>
      </c>
      <c r="Y203" s="156" t="s">
        <v>244</v>
      </c>
      <c r="Z203" t="str">
        <f t="shared" ca="1" si="66"/>
        <v>RA</v>
      </c>
      <c r="AA203" s="157">
        <f ca="1">IF($C203="S",IF($Z203="CP",$X203,IF($Z203="RA",(($X203)*QCI!$AA$3),0)),SomaAgrup)</f>
        <v>185.76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str">
        <f t="shared" ca="1" si="69"/>
        <v>SINAPI 89744</v>
      </c>
      <c r="AF203" s="160">
        <f t="shared" ca="1" si="70"/>
        <v>3581</v>
      </c>
      <c r="AG203" s="550">
        <f t="shared" ca="1" si="71"/>
        <v>18.23</v>
      </c>
      <c r="AH203" s="551">
        <f t="shared" ca="1" si="72"/>
        <v>0.27350000000000002</v>
      </c>
      <c r="AJ203" s="553">
        <v>8</v>
      </c>
      <c r="AL203" s="574"/>
      <c r="AM203" s="431">
        <f t="shared" ca="1" si="73"/>
        <v>185.76</v>
      </c>
      <c r="AN203" s="617">
        <f t="shared" ca="1" si="74"/>
        <v>23.22</v>
      </c>
    </row>
    <row r="204" spans="1:40" ht="38.25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3</v>
      </c>
      <c r="F204">
        <f t="shared" ca="1" si="54"/>
        <v>6</v>
      </c>
      <c r="G204">
        <f t="shared" ca="1" si="55"/>
        <v>0</v>
      </c>
      <c r="H204">
        <f t="shared" ca="1" si="56"/>
        <v>0</v>
      </c>
      <c r="I204">
        <f t="shared" ca="1" si="57"/>
        <v>7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>F</v>
      </c>
      <c r="M204" s="145" t="s">
        <v>198</v>
      </c>
      <c r="N204" s="146" t="str">
        <f t="shared" ca="1" si="60"/>
        <v>Serviço</v>
      </c>
      <c r="O204" s="147" t="str">
        <f t="shared" ca="1" si="61"/>
        <v>3.6.7.</v>
      </c>
      <c r="P204" s="148" t="s">
        <v>246</v>
      </c>
      <c r="Q204" s="149" t="s">
        <v>500</v>
      </c>
      <c r="R204" s="150" t="str">
        <f t="shared" ca="1" si="62"/>
        <v>JOELHO 90 GRAUS, PVC, SOLDÁVEL, DN 25MM, INSTALADO EM RAMAL OU SUB-RAMAL DE ÁGUA - FORNECIMENTO E INSTALAÇÃO. AF_12/2014</v>
      </c>
      <c r="S204" s="151" t="str">
        <f t="shared" ca="1" si="63"/>
        <v>UN</v>
      </c>
      <c r="T204" s="152">
        <f ca="1">OFFSET(CÁLCULO!H$15,ROW($T204)-ROW(T$15),0)</f>
        <v>8</v>
      </c>
      <c r="U204" s="153">
        <v>7.18</v>
      </c>
      <c r="V204" s="154" t="s">
        <v>155</v>
      </c>
      <c r="W204" s="152">
        <f t="shared" ca="1" si="64"/>
        <v>9.14</v>
      </c>
      <c r="X204" s="155">
        <f t="shared" ca="1" si="65"/>
        <v>73.12</v>
      </c>
      <c r="Y204" s="156" t="s">
        <v>244</v>
      </c>
      <c r="Z204" t="str">
        <f t="shared" ca="1" si="66"/>
        <v>RA</v>
      </c>
      <c r="AA204" s="157">
        <f ca="1">IF($C204="S",IF($Z204="CP",$X204,IF($Z204="RA",(($X204)*QCI!$AA$3),0)),SomaAgrup)</f>
        <v>73.12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str">
        <f t="shared" ca="1" si="69"/>
        <v>SINAPI 89362</v>
      </c>
      <c r="AF204" s="160">
        <f t="shared" ca="1" si="70"/>
        <v>3282</v>
      </c>
      <c r="AG204" s="550">
        <f t="shared" ca="1" si="71"/>
        <v>7.18</v>
      </c>
      <c r="AH204" s="551">
        <f t="shared" ca="1" si="72"/>
        <v>0.27350000000000002</v>
      </c>
      <c r="AJ204" s="553">
        <v>8</v>
      </c>
      <c r="AL204" s="574"/>
      <c r="AM204" s="431">
        <f t="shared" ca="1" si="73"/>
        <v>73.12</v>
      </c>
      <c r="AN204" s="617">
        <f t="shared" ca="1" si="74"/>
        <v>9.14</v>
      </c>
    </row>
    <row r="205" spans="1:40" ht="25.5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3</v>
      </c>
      <c r="F205">
        <f t="shared" ca="1" si="54"/>
        <v>6</v>
      </c>
      <c r="G205">
        <f t="shared" ca="1" si="55"/>
        <v>0</v>
      </c>
      <c r="H205">
        <f t="shared" ca="1" si="56"/>
        <v>0</v>
      </c>
      <c r="I205">
        <f t="shared" ca="1" si="57"/>
        <v>8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>F</v>
      </c>
      <c r="M205" s="145" t="s">
        <v>198</v>
      </c>
      <c r="N205" s="146" t="str">
        <f t="shared" ca="1" si="60"/>
        <v>Serviço</v>
      </c>
      <c r="O205" s="147" t="str">
        <f t="shared" ca="1" si="61"/>
        <v>3.6.8.</v>
      </c>
      <c r="P205" s="148" t="s">
        <v>246</v>
      </c>
      <c r="Q205" s="149" t="s">
        <v>501</v>
      </c>
      <c r="R205" s="150" t="str">
        <f t="shared" ca="1" si="62"/>
        <v>TORNEIRA CROMADA DE MESA, 1/2 OU 3/4, PARA LAVATÓRIO, PADRÃO POPULAR - FORNECIMENTO E INSTALAÇÃO. AF_01/2020</v>
      </c>
      <c r="S205" s="151" t="str">
        <f t="shared" ca="1" si="63"/>
        <v>UN</v>
      </c>
      <c r="T205" s="152">
        <f ca="1">OFFSET(CÁLCULO!H$15,ROW($T205)-ROW(T$15),0)</f>
        <v>4</v>
      </c>
      <c r="U205" s="153">
        <v>44.18</v>
      </c>
      <c r="V205" s="154" t="s">
        <v>155</v>
      </c>
      <c r="W205" s="152">
        <f t="shared" ca="1" si="64"/>
        <v>56.26</v>
      </c>
      <c r="X205" s="155">
        <f t="shared" ca="1" si="65"/>
        <v>225.04</v>
      </c>
      <c r="Y205" s="156" t="s">
        <v>244</v>
      </c>
      <c r="Z205" t="str">
        <f t="shared" ca="1" si="66"/>
        <v>RA</v>
      </c>
      <c r="AA205" s="157">
        <f ca="1">IF($C205="S",IF($Z205="CP",$X205,IF($Z205="RA",(($X205)*QCI!$AA$3),0)),SomaAgrup)</f>
        <v>225.04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str">
        <f t="shared" ca="1" si="69"/>
        <v>SINAPI 86906</v>
      </c>
      <c r="AF205" s="160">
        <f t="shared" ca="1" si="70"/>
        <v>4429</v>
      </c>
      <c r="AG205" s="550">
        <f t="shared" ca="1" si="71"/>
        <v>44.18</v>
      </c>
      <c r="AH205" s="551">
        <f t="shared" ca="1" si="72"/>
        <v>0.27350000000000002</v>
      </c>
      <c r="AJ205" s="553">
        <v>4</v>
      </c>
      <c r="AL205" s="574"/>
      <c r="AM205" s="431">
        <f t="shared" ca="1" si="73"/>
        <v>225.04</v>
      </c>
      <c r="AN205" s="617">
        <f t="shared" ca="1" si="74"/>
        <v>56.26</v>
      </c>
    </row>
    <row r="206" spans="1:40" ht="25.5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3</v>
      </c>
      <c r="F206">
        <f t="shared" ca="1" si="54"/>
        <v>6</v>
      </c>
      <c r="G206">
        <f t="shared" ca="1" si="55"/>
        <v>0</v>
      </c>
      <c r="H206">
        <f t="shared" ca="1" si="56"/>
        <v>0</v>
      </c>
      <c r="I206">
        <f t="shared" ca="1" si="57"/>
        <v>9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>F</v>
      </c>
      <c r="M206" s="145" t="s">
        <v>198</v>
      </c>
      <c r="N206" s="146" t="str">
        <f t="shared" ca="1" si="60"/>
        <v>Serviço</v>
      </c>
      <c r="O206" s="147" t="str">
        <f t="shared" ca="1" si="61"/>
        <v>3.6.9.</v>
      </c>
      <c r="P206" s="148" t="s">
        <v>246</v>
      </c>
      <c r="Q206" s="149" t="s">
        <v>502</v>
      </c>
      <c r="R206" s="150" t="str">
        <f t="shared" ca="1" si="62"/>
        <v>REGISTRO DE GAVETA BRUTO, LATÃO, ROSCÁVEL, 3/4", FORNECIDO E INSTALADO EM RAMAL DE ÁGUA. AF_12/2014</v>
      </c>
      <c r="S206" s="151" t="str">
        <f t="shared" ca="1" si="63"/>
        <v>UN</v>
      </c>
      <c r="T206" s="152">
        <f ca="1">OFFSET(CÁLCULO!H$15,ROW($T206)-ROW(T$15),0)</f>
        <v>2</v>
      </c>
      <c r="U206" s="153">
        <v>31.69</v>
      </c>
      <c r="V206" s="154" t="s">
        <v>155</v>
      </c>
      <c r="W206" s="152">
        <f t="shared" ca="1" si="64"/>
        <v>40.36</v>
      </c>
      <c r="X206" s="155">
        <f t="shared" ca="1" si="65"/>
        <v>80.72</v>
      </c>
      <c r="Y206" s="156" t="s">
        <v>244</v>
      </c>
      <c r="Z206" t="str">
        <f t="shared" ca="1" si="66"/>
        <v>RA</v>
      </c>
      <c r="AA206" s="157">
        <f ca="1">IF($C206="S",IF($Z206="CP",$X206,IF($Z206="RA",(($X206)*QCI!$AA$3),0)),SomaAgrup)</f>
        <v>80.72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str">
        <f t="shared" ca="1" si="69"/>
        <v>SINAPI 89353</v>
      </c>
      <c r="AF206" s="160">
        <f t="shared" ca="1" si="70"/>
        <v>4551</v>
      </c>
      <c r="AG206" s="550">
        <f t="shared" ca="1" si="71"/>
        <v>31.69</v>
      </c>
      <c r="AH206" s="551">
        <f t="shared" ca="1" si="72"/>
        <v>0.27350000000000002</v>
      </c>
      <c r="AJ206" s="553">
        <v>2</v>
      </c>
      <c r="AL206" s="574"/>
      <c r="AM206" s="431">
        <f t="shared" ca="1" si="73"/>
        <v>80.72</v>
      </c>
      <c r="AN206" s="617">
        <f t="shared" ca="1" si="74"/>
        <v>40.36</v>
      </c>
    </row>
    <row r="207" spans="1:40" ht="38.25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3</v>
      </c>
      <c r="F207">
        <f t="shared" ca="1" si="54"/>
        <v>6</v>
      </c>
      <c r="G207">
        <f t="shared" ca="1" si="55"/>
        <v>0</v>
      </c>
      <c r="H207">
        <f t="shared" ca="1" si="56"/>
        <v>0</v>
      </c>
      <c r="I207">
        <f t="shared" ca="1" si="57"/>
        <v>10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>F</v>
      </c>
      <c r="M207" s="145" t="s">
        <v>198</v>
      </c>
      <c r="N207" s="146" t="str">
        <f t="shared" ca="1" si="60"/>
        <v>Serviço</v>
      </c>
      <c r="O207" s="147" t="str">
        <f t="shared" ca="1" si="61"/>
        <v>3.6.10.</v>
      </c>
      <c r="P207" s="148" t="s">
        <v>246</v>
      </c>
      <c r="Q207" s="149" t="s">
        <v>503</v>
      </c>
      <c r="R207" s="150" t="str">
        <f t="shared" ca="1" si="62"/>
        <v>RALO SIFONADO, PVC, DN 100 X 40 MM, JUNTA SOLDÁVEL, FORNECIDO E INSTALADO EM RAMAL DE DESCARGA OU EM RAMAL DE ESGOTO SANITÁRIO. AF_12/2014</v>
      </c>
      <c r="S207" s="151" t="str">
        <f t="shared" ca="1" si="63"/>
        <v>UN</v>
      </c>
      <c r="T207" s="152">
        <f ca="1">OFFSET(CÁLCULO!H$15,ROW($T207)-ROW(T$15),0)</f>
        <v>1</v>
      </c>
      <c r="U207" s="153">
        <v>9.8000000000000007</v>
      </c>
      <c r="V207" s="154" t="s">
        <v>155</v>
      </c>
      <c r="W207" s="152">
        <f t="shared" ca="1" si="64"/>
        <v>12.48</v>
      </c>
      <c r="X207" s="155">
        <f t="shared" ca="1" si="65"/>
        <v>12.48</v>
      </c>
      <c r="Y207" s="156" t="s">
        <v>244</v>
      </c>
      <c r="Z207" t="str">
        <f t="shared" ca="1" si="66"/>
        <v>RA</v>
      </c>
      <c r="AA207" s="157">
        <f ca="1">IF($C207="S",IF($Z207="CP",$X207,IF($Z207="RA",(($X207)*QCI!$AA$3),0)),SomaAgrup)</f>
        <v>12.48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str">
        <f t="shared" ca="1" si="69"/>
        <v>SINAPI 89709</v>
      </c>
      <c r="AF207" s="160">
        <f t="shared" ca="1" si="70"/>
        <v>4400</v>
      </c>
      <c r="AG207" s="550">
        <f t="shared" ca="1" si="71"/>
        <v>9.8000000000000007</v>
      </c>
      <c r="AH207" s="551">
        <f t="shared" ca="1" si="72"/>
        <v>0.27350000000000002</v>
      </c>
      <c r="AJ207" s="553">
        <v>1</v>
      </c>
      <c r="AL207" s="574"/>
      <c r="AM207" s="431">
        <f t="shared" ca="1" si="73"/>
        <v>12.48</v>
      </c>
      <c r="AN207" s="617">
        <f t="shared" ca="1" si="74"/>
        <v>12.48</v>
      </c>
    </row>
    <row r="208" spans="1:40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3</v>
      </c>
      <c r="F208">
        <f t="shared" ref="F208:F265" ca="1" si="79">IF($C208=1,0,IF($C208=2,OFFSET(F208,-1,0)+1,OFFSET(F208,-1,0)))</f>
        <v>6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>F</v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3.6.11.</v>
      </c>
      <c r="P208" s="148" t="s">
        <v>452</v>
      </c>
      <c r="Q208" s="149" t="s">
        <v>506</v>
      </c>
      <c r="R208" s="150" t="str">
        <f t="shared" ref="R208:R265" ca="1" si="87">IF($C208="S",REFERENCIA.Descricao,"(digite a descrição aqui)")</f>
        <v>CAIXA D'AGUA EM POLIETILENO 500 LITROS, COM TAMPA</v>
      </c>
      <c r="S208" s="151" t="str">
        <f t="shared" ref="S208:S265" ca="1" si="88">REFERENCIA.Unidade</f>
        <v xml:space="preserve">UN    </v>
      </c>
      <c r="T208" s="152">
        <f ca="1">OFFSET(CÁLCULO!H$15,ROW($T208)-ROW(T$15),0)</f>
        <v>1</v>
      </c>
      <c r="U208" s="153">
        <v>196.99</v>
      </c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250.87</v>
      </c>
      <c r="X208" s="155">
        <f t="shared" ref="X208:X265" ca="1" si="90">IF($C208="S",VTOTAL1,IF($C208=0,0,ROUND(SomaAgrup,15-13*$AF$11)))</f>
        <v>250.87</v>
      </c>
      <c r="Y208" s="156" t="s">
        <v>244</v>
      </c>
      <c r="Z208" t="str">
        <f t="shared" ref="Z208:Z265" ca="1" si="91">IF(AND($C208="S",$X208&gt;0),IF(ISBLANK($Y208),"RA",LEFT($Y208,2)),"")</f>
        <v>RA</v>
      </c>
      <c r="AA208" s="157">
        <f ca="1">IF($C208="S",IF($Z208="CP",$X208,IF($Z208="RA",(($X208)*QCI!$AA$3),0)),SomaAgrup)</f>
        <v>250.87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str">
        <f t="shared" ref="AE208:AE265" ca="1" si="94">IF(AND($C208="S",ORÇAMENTO.CodBarra&lt;&gt;""),IF(ORÇAMENTO.Fonte="",ORÇAMENTO.CodBarra,CONCATENATE(ORÇAMENTO.Fonte," ",ORÇAMENTO.CodBarra)))</f>
        <v>SINAPI-I 34637</v>
      </c>
      <c r="AF208" s="160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7270</v>
      </c>
      <c r="AG208" s="550">
        <f t="shared" ref="AG208:AG265" ca="1" si="96">ROUND(IF(DESONERACAO="sim",REFERENCIA.Desonerado,REFERENCIA.NaoDesonerado),2)</f>
        <v>196.99</v>
      </c>
      <c r="AH208" s="551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53">
        <v>1</v>
      </c>
      <c r="AL208" s="574"/>
      <c r="AM208" s="431">
        <f t="shared" ref="AM208:AM265" ca="1" si="98">$X208</f>
        <v>250.87</v>
      </c>
      <c r="AN208" s="617">
        <f t="shared" ref="AN208:AN265" ca="1" si="99">ROUND(ORÇAMENTO.CustoUnitario*(1+$AH208),2)</f>
        <v>250.87</v>
      </c>
    </row>
    <row r="209" spans="1:40" ht="38.25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3</v>
      </c>
      <c r="F209">
        <f t="shared" ca="1" si="79"/>
        <v>6</v>
      </c>
      <c r="G209">
        <f t="shared" ca="1" si="80"/>
        <v>0</v>
      </c>
      <c r="H209">
        <f t="shared" ca="1" si="81"/>
        <v>0</v>
      </c>
      <c r="I209">
        <f t="shared" ca="1" si="82"/>
        <v>12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>F</v>
      </c>
      <c r="M209" s="145" t="s">
        <v>198</v>
      </c>
      <c r="N209" s="146" t="str">
        <f t="shared" ca="1" si="85"/>
        <v>Serviço</v>
      </c>
      <c r="O209" s="147" t="str">
        <f t="shared" ca="1" si="86"/>
        <v>3.6.12.</v>
      </c>
      <c r="P209" s="148" t="s">
        <v>246</v>
      </c>
      <c r="Q209" s="149" t="s">
        <v>526</v>
      </c>
      <c r="R209" s="150" t="str">
        <f t="shared" ca="1" si="87"/>
        <v>CAIXA DE GORDURA SIMPLES, CIRCULAR, EM CONCRETO PRÉ-MOLDADO, DIÂMETRO INTERNO = 0,4 M, ALTURA INTERNA = 0,4 M. AF_05/2018</v>
      </c>
      <c r="S209" s="151" t="str">
        <f t="shared" ca="1" si="88"/>
        <v>UN</v>
      </c>
      <c r="T209" s="152">
        <f ca="1">OFFSET(CÁLCULO!H$15,ROW($T209)-ROW(T$15),0)</f>
        <v>1</v>
      </c>
      <c r="U209" s="153">
        <v>58.54</v>
      </c>
      <c r="V209" s="154" t="s">
        <v>155</v>
      </c>
      <c r="W209" s="152">
        <f t="shared" ca="1" si="89"/>
        <v>74.55</v>
      </c>
      <c r="X209" s="155">
        <f t="shared" ca="1" si="90"/>
        <v>74.55</v>
      </c>
      <c r="Y209" s="156" t="s">
        <v>244</v>
      </c>
      <c r="Z209" t="str">
        <f t="shared" ca="1" si="91"/>
        <v>RA</v>
      </c>
      <c r="AA209" s="157">
        <f ca="1">IF($C209="S",IF($Z209="CP",$X209,IF($Z209="RA",(($X209)*QCI!$AA$3),0)),SomaAgrup)</f>
        <v>74.55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str">
        <f t="shared" ca="1" si="94"/>
        <v>SINAPI 98102</v>
      </c>
      <c r="AF209" s="160">
        <f t="shared" ca="1" si="95"/>
        <v>4379</v>
      </c>
      <c r="AG209" s="550">
        <f t="shared" ca="1" si="96"/>
        <v>58.54</v>
      </c>
      <c r="AH209" s="551">
        <f t="shared" ca="1" si="97"/>
        <v>0.27350000000000002</v>
      </c>
      <c r="AJ209" s="553">
        <v>1</v>
      </c>
      <c r="AL209" s="574"/>
      <c r="AM209" s="431">
        <f t="shared" ca="1" si="98"/>
        <v>74.55</v>
      </c>
      <c r="AN209" s="617">
        <f t="shared" ca="1" si="99"/>
        <v>74.55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3</v>
      </c>
      <c r="F210">
        <f t="shared" ca="1" si="79"/>
        <v>6</v>
      </c>
      <c r="G210">
        <f t="shared" ca="1" si="80"/>
        <v>0</v>
      </c>
      <c r="H210">
        <f t="shared" ca="1" si="81"/>
        <v>0</v>
      </c>
      <c r="I210">
        <f t="shared" ca="1" si="82"/>
        <v>12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/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0.27350000000000002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3</v>
      </c>
      <c r="F211">
        <f t="shared" ca="1" si="79"/>
        <v>6</v>
      </c>
      <c r="G211">
        <f t="shared" ca="1" si="80"/>
        <v>0</v>
      </c>
      <c r="H211">
        <f t="shared" ca="1" si="81"/>
        <v>0</v>
      </c>
      <c r="I211">
        <f t="shared" ca="1" si="82"/>
        <v>12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0.27350000000000002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x14ac:dyDescent="0.2">
      <c r="A212">
        <f t="shared" si="75"/>
        <v>2</v>
      </c>
      <c r="B212">
        <f t="shared" ca="1" si="76"/>
        <v>2</v>
      </c>
      <c r="C212">
        <f t="shared" ca="1" si="77"/>
        <v>2</v>
      </c>
      <c r="D212">
        <f t="shared" ca="1" si="78"/>
        <v>4</v>
      </c>
      <c r="E212">
        <f ca="1">IF($C212=1,OFFSET(E212,-1,0)+MAX(1,COUNTIF(QCI!$A$13:$A$24,OFFSET(ORÇAMENTO!E212,-1,0))),OFFSET(E212,-1,0))</f>
        <v>3</v>
      </c>
      <c r="F212">
        <f t="shared" ca="1" si="79"/>
        <v>7</v>
      </c>
      <c r="G212">
        <f t="shared" ca="1" si="80"/>
        <v>0</v>
      </c>
      <c r="H212">
        <f t="shared" ca="1" si="81"/>
        <v>0</v>
      </c>
      <c r="I212">
        <f t="shared" ca="1" si="82"/>
        <v>0</v>
      </c>
      <c r="J212">
        <f t="shared" ca="1" si="83"/>
        <v>10</v>
      </c>
      <c r="K212">
        <f ca="1">IF(OR($C212="S",$C212=0),0,MATCH(OFFSET($D212,0,$C212)+IF($C212&lt;&gt;1,1,COUNTIF(QCI!$A$13:$A$24,ORÇAMENTO!E212)),OFFSET($D212,1,$C212,ROW($C$266)-ROW($C212)),0))</f>
        <v>4</v>
      </c>
      <c r="L212" s="144" t="str">
        <f t="shared" ca="1" si="84"/>
        <v>F</v>
      </c>
      <c r="M212" s="145" t="s">
        <v>195</v>
      </c>
      <c r="N212" s="146" t="str">
        <f t="shared" ca="1" si="85"/>
        <v>Nível 2</v>
      </c>
      <c r="O212" s="147" t="str">
        <f t="shared" ca="1" si="86"/>
        <v>3.7.</v>
      </c>
      <c r="P212" s="148" t="s">
        <v>246</v>
      </c>
      <c r="Q212" s="149"/>
      <c r="R212" s="150" t="str">
        <f ca="1">IF($C212="S",REFERENCIA.Descricao,"(SAGUÃO)")</f>
        <v>(SAGUÃO)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1665.01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1665.01</v>
      </c>
      <c r="AB212" s="158">
        <f t="shared" ca="1" si="92"/>
        <v>0</v>
      </c>
      <c r="AC212" s="159" t="str">
        <f t="shared" ca="1" si="93"/>
        <v/>
      </c>
      <c r="AD212" s="105">
        <f ca="1">IF(C212&lt;=CRONO.NivelExibicao,MAX($AD$15:OFFSET(AD212,-1,0))+IF($C212&lt;&gt;1,1,MAX(1,COUNTIF(QCI!$A$13:$A$24,OFFSET($E212,-1,0)))),"")</f>
        <v>22</v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0.27350000000000002</v>
      </c>
      <c r="AJ212" s="553"/>
      <c r="AL212" s="574"/>
      <c r="AM212" s="431">
        <f t="shared" ca="1" si="98"/>
        <v>1665.01</v>
      </c>
      <c r="AN212" s="617">
        <f t="shared" ca="1" si="99"/>
        <v>0</v>
      </c>
    </row>
    <row r="213" spans="1:40" ht="38.25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3</v>
      </c>
      <c r="F213">
        <f t="shared" ca="1" si="79"/>
        <v>7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>F</v>
      </c>
      <c r="M213" s="145" t="s">
        <v>198</v>
      </c>
      <c r="N213" s="146" t="str">
        <f t="shared" ca="1" si="85"/>
        <v>Serviço</v>
      </c>
      <c r="O213" s="147" t="str">
        <f t="shared" ca="1" si="86"/>
        <v>3.7.1.</v>
      </c>
      <c r="P213" s="148" t="s">
        <v>528</v>
      </c>
      <c r="Q213" s="149" t="s">
        <v>536</v>
      </c>
      <c r="R213" s="150" t="str">
        <f t="shared" ca="1" si="87"/>
        <v>LAVATÓRIO/BEBEDOURO EM AÇO INÓX, e=0,8MM,  COM TRES TORNEIRAS DE PRESSÃO DE PAREDE,  100X50X35CM, COM SIFÃO, TUBULAÇÃO, FORNECIMENTO E INSTALAÇÃO</v>
      </c>
      <c r="S213" s="151" t="str">
        <f t="shared" ca="1" si="88"/>
        <v>UD</v>
      </c>
      <c r="T213" s="152">
        <f ca="1">OFFSET(CÁLCULO!H$15,ROW($T213)-ROW(T$15),0)</f>
        <v>1</v>
      </c>
      <c r="U213" s="153">
        <v>745</v>
      </c>
      <c r="V213" s="154" t="s">
        <v>155</v>
      </c>
      <c r="W213" s="152">
        <f t="shared" ca="1" si="89"/>
        <v>948.76</v>
      </c>
      <c r="X213" s="155">
        <f t="shared" ca="1" si="90"/>
        <v>948.76</v>
      </c>
      <c r="Y213" s="156" t="s">
        <v>244</v>
      </c>
      <c r="Z213" t="str">
        <f t="shared" ca="1" si="91"/>
        <v>RA</v>
      </c>
      <c r="AA213" s="157">
        <f ca="1">IF($C213="S",IF($Z213="CP",$X213,IF($Z213="RA",(($X213)*QCI!$AA$3),0)),SomaAgrup)</f>
        <v>948.76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str">
        <f t="shared" ca="1" si="94"/>
        <v>Cotação 004</v>
      </c>
      <c r="AF213" s="160">
        <f t="shared" ca="1" si="95"/>
        <v>21</v>
      </c>
      <c r="AG213" s="550">
        <f t="shared" ca="1" si="96"/>
        <v>745</v>
      </c>
      <c r="AH213" s="551">
        <f t="shared" ca="1" si="97"/>
        <v>0.27350000000000002</v>
      </c>
      <c r="AJ213" s="553">
        <v>1</v>
      </c>
      <c r="AL213" s="574"/>
      <c r="AM213" s="431">
        <f t="shared" ca="1" si="98"/>
        <v>948.76</v>
      </c>
      <c r="AN213" s="617">
        <f t="shared" ca="1" si="99"/>
        <v>948.76</v>
      </c>
    </row>
    <row r="214" spans="1:40" ht="25.5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3</v>
      </c>
      <c r="F214">
        <f t="shared" ca="1" si="79"/>
        <v>7</v>
      </c>
      <c r="G214">
        <f t="shared" ca="1" si="80"/>
        <v>0</v>
      </c>
      <c r="H214">
        <f t="shared" ca="1" si="81"/>
        <v>0</v>
      </c>
      <c r="I214">
        <f t="shared" ca="1" si="82"/>
        <v>2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>F</v>
      </c>
      <c r="M214" s="145" t="s">
        <v>198</v>
      </c>
      <c r="N214" s="146" t="str">
        <f t="shared" ca="1" si="85"/>
        <v>Serviço</v>
      </c>
      <c r="O214" s="147" t="str">
        <f t="shared" ca="1" si="86"/>
        <v>3.7.2.</v>
      </c>
      <c r="P214" s="148" t="s">
        <v>528</v>
      </c>
      <c r="Q214" s="149" t="s">
        <v>538</v>
      </c>
      <c r="R214" s="150" t="str">
        <f t="shared" ca="1" si="87"/>
        <v>RASGO E FECHAMENTO EM PAREDE/PISO PARA TUBULAÇÃO DE AGUA FRIA 25CMM</v>
      </c>
      <c r="S214" s="151" t="str">
        <f t="shared" ca="1" si="88"/>
        <v>M</v>
      </c>
      <c r="T214" s="152">
        <f ca="1">OFFSET(CÁLCULO!H$15,ROW($T214)-ROW(T$15),0)</f>
        <v>15</v>
      </c>
      <c r="U214" s="153">
        <v>35</v>
      </c>
      <c r="V214" s="154" t="s">
        <v>155</v>
      </c>
      <c r="W214" s="152">
        <f t="shared" ca="1" si="89"/>
        <v>44.57</v>
      </c>
      <c r="X214" s="155">
        <f t="shared" ca="1" si="90"/>
        <v>668.55</v>
      </c>
      <c r="Y214" s="156" t="s">
        <v>244</v>
      </c>
      <c r="Z214" t="str">
        <f t="shared" ca="1" si="91"/>
        <v>RA</v>
      </c>
      <c r="AA214" s="157">
        <f ca="1">IF($C214="S",IF($Z214="CP",$X214,IF($Z214="RA",(($X214)*QCI!$AA$3),0)),SomaAgrup)</f>
        <v>668.55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str">
        <f t="shared" ca="1" si="94"/>
        <v>Cotação 005</v>
      </c>
      <c r="AF214" s="160">
        <f t="shared" ca="1" si="95"/>
        <v>22</v>
      </c>
      <c r="AG214" s="550">
        <f t="shared" ca="1" si="96"/>
        <v>35</v>
      </c>
      <c r="AH214" s="551">
        <f t="shared" ca="1" si="97"/>
        <v>0.27350000000000002</v>
      </c>
      <c r="AJ214" s="553">
        <v>15</v>
      </c>
      <c r="AL214" s="574"/>
      <c r="AM214" s="431">
        <f t="shared" ca="1" si="98"/>
        <v>668.55</v>
      </c>
      <c r="AN214" s="617">
        <f t="shared" ca="1" si="99"/>
        <v>44.57</v>
      </c>
    </row>
    <row r="215" spans="1:40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3</v>
      </c>
      <c r="F215">
        <f t="shared" ca="1" si="79"/>
        <v>7</v>
      </c>
      <c r="G215">
        <f t="shared" ca="1" si="80"/>
        <v>0</v>
      </c>
      <c r="H215">
        <f t="shared" ca="1" si="81"/>
        <v>0</v>
      </c>
      <c r="I215">
        <f t="shared" ca="1" si="82"/>
        <v>3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>F</v>
      </c>
      <c r="M215" s="145" t="s">
        <v>198</v>
      </c>
      <c r="N215" s="146" t="str">
        <f t="shared" ca="1" si="85"/>
        <v>Serviço</v>
      </c>
      <c r="O215" s="147" t="str">
        <f t="shared" ca="1" si="86"/>
        <v>3.7.3.</v>
      </c>
      <c r="P215" s="148" t="s">
        <v>452</v>
      </c>
      <c r="Q215" s="149" t="s">
        <v>493</v>
      </c>
      <c r="R215" s="150" t="str">
        <f t="shared" ca="1" si="87"/>
        <v>TUBO PVC, SOLDAVEL, DN 25 MM, AGUA FRIA (NBR-5648)</v>
      </c>
      <c r="S215" s="151" t="str">
        <f t="shared" ca="1" si="88"/>
        <v xml:space="preserve">M     </v>
      </c>
      <c r="T215" s="152">
        <f ca="1">OFFSET(CÁLCULO!H$15,ROW($T215)-ROW(T$15),0)</f>
        <v>15</v>
      </c>
      <c r="U215" s="153">
        <v>2.5</v>
      </c>
      <c r="V215" s="154" t="s">
        <v>155</v>
      </c>
      <c r="W215" s="152">
        <f t="shared" ca="1" si="89"/>
        <v>3.18</v>
      </c>
      <c r="X215" s="155">
        <f t="shared" ca="1" si="90"/>
        <v>47.7</v>
      </c>
      <c r="Y215" s="156" t="s">
        <v>244</v>
      </c>
      <c r="Z215" t="str">
        <f t="shared" ca="1" si="91"/>
        <v>RA</v>
      </c>
      <c r="AA215" s="157">
        <f ca="1">IF($C215="S",IF($Z215="CP",$X215,IF($Z215="RA",(($X215)*QCI!$AA$3),0)),SomaAgrup)</f>
        <v>47.7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str">
        <f t="shared" ca="1" si="94"/>
        <v>SINAPI-I 9868</v>
      </c>
      <c r="AF215" s="160">
        <f t="shared" ca="1" si="95"/>
        <v>11395</v>
      </c>
      <c r="AG215" s="550">
        <f t="shared" ca="1" si="96"/>
        <v>2.5</v>
      </c>
      <c r="AH215" s="551">
        <f t="shared" ca="1" si="97"/>
        <v>0.27350000000000002</v>
      </c>
      <c r="AJ215" s="553">
        <v>15</v>
      </c>
      <c r="AL215" s="574"/>
      <c r="AM215" s="431">
        <f t="shared" ca="1" si="98"/>
        <v>47.7</v>
      </c>
      <c r="AN215" s="617">
        <f t="shared" ca="1" si="99"/>
        <v>3.18</v>
      </c>
    </row>
    <row r="216" spans="1:40" x14ac:dyDescent="0.2">
      <c r="A216">
        <f t="shared" si="75"/>
        <v>2</v>
      </c>
      <c r="B216">
        <f t="shared" ca="1" si="76"/>
        <v>2</v>
      </c>
      <c r="C216">
        <f t="shared" ca="1" si="77"/>
        <v>2</v>
      </c>
      <c r="D216">
        <f t="shared" ca="1" si="78"/>
        <v>4</v>
      </c>
      <c r="E216">
        <f ca="1">IF($C216=1,OFFSET(E216,-1,0)+MAX(1,COUNTIF(QCI!$A$13:$A$24,OFFSET(ORÇAMENTO!E216,-1,0))),OFFSET(E216,-1,0))</f>
        <v>3</v>
      </c>
      <c r="F216">
        <f t="shared" ca="1" si="79"/>
        <v>8</v>
      </c>
      <c r="G216">
        <f t="shared" ca="1" si="80"/>
        <v>0</v>
      </c>
      <c r="H216">
        <f t="shared" ca="1" si="81"/>
        <v>0</v>
      </c>
      <c r="I216">
        <f t="shared" ca="1" si="82"/>
        <v>0</v>
      </c>
      <c r="J216">
        <f t="shared" ca="1" si="83"/>
        <v>6</v>
      </c>
      <c r="K216">
        <f ca="1">IF(OR($C216="S",$C216=0),0,MATCH(OFFSET($D216,0,$C216)+IF($C216&lt;&gt;1,1,COUNTIF(QCI!$A$13:$A$24,ORÇAMENTO!E216)),OFFSET($D216,1,$C216,ROW($C$266)-ROW($C216)),0))</f>
        <v>4</v>
      </c>
      <c r="L216" s="144" t="str">
        <f t="shared" ca="1" si="84"/>
        <v>F</v>
      </c>
      <c r="M216" s="145" t="s">
        <v>195</v>
      </c>
      <c r="N216" s="146" t="str">
        <f t="shared" ca="1" si="85"/>
        <v>Nível 2</v>
      </c>
      <c r="O216" s="147" t="str">
        <f t="shared" ca="1" si="86"/>
        <v>3.8.</v>
      </c>
      <c r="P216" s="148" t="s">
        <v>246</v>
      </c>
      <c r="Q216" s="149"/>
      <c r="R216" s="150" t="str">
        <f ca="1">IF($C216="S",REFERENCIA.Descricao,"(EXAUSTORES / TELAS MILIMETRICAS)")</f>
        <v>(EXAUSTORES / TELAS MILIMETRICAS)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7937.86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7937.86</v>
      </c>
      <c r="AB216" s="158">
        <f t="shared" ca="1" si="92"/>
        <v>0</v>
      </c>
      <c r="AC216" s="159" t="str">
        <f t="shared" ca="1" si="93"/>
        <v/>
      </c>
      <c r="AD216" s="105">
        <f ca="1">IF(C216&lt;=CRONO.NivelExibicao,MAX($AD$15:OFFSET(AD216,-1,0))+IF($C216&lt;&gt;1,1,MAX(1,COUNTIF(QCI!$A$13:$A$24,OFFSET($E216,-1,0)))),"")</f>
        <v>23</v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0.27350000000000002</v>
      </c>
      <c r="AJ216" s="553"/>
      <c r="AL216" s="574"/>
      <c r="AM216" s="431">
        <f t="shared" ca="1" si="98"/>
        <v>7937.86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3</v>
      </c>
      <c r="F217">
        <f t="shared" ca="1" si="79"/>
        <v>8</v>
      </c>
      <c r="G217">
        <f t="shared" ca="1" si="80"/>
        <v>0</v>
      </c>
      <c r="H217">
        <f t="shared" ca="1" si="81"/>
        <v>0</v>
      </c>
      <c r="I217">
        <f t="shared" ca="1" si="82"/>
        <v>0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528</v>
      </c>
      <c r="Q217" s="149" t="s">
        <v>527</v>
      </c>
      <c r="R217" s="150" t="str">
        <f t="shared" ca="1" si="87"/>
        <v>01 coifa aço inox 430, medindo: 1,20m x 1,00m x 0,60cm c/ exaustor de 0,40cm diâmetro, com 04 metros de dutos inox , -01suporte c/cantoneira alumínio, c/tela inox , medindo; 0,79x 2,24</v>
      </c>
      <c r="S217" s="151" t="str">
        <f t="shared" ca="1" si="88"/>
        <v>UNIDADE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str">
        <f t="shared" ca="1" si="94"/>
        <v>Cotação 002</v>
      </c>
      <c r="AF217" s="160">
        <f t="shared" ca="1" si="95"/>
        <v>19</v>
      </c>
      <c r="AG217" s="550">
        <f t="shared" ca="1" si="96"/>
        <v>6978</v>
      </c>
      <c r="AH217" s="551">
        <f t="shared" ca="1" si="97"/>
        <v>0.27350000000000002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t="5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3</v>
      </c>
      <c r="F218">
        <f t="shared" ca="1" si="79"/>
        <v>8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>F</v>
      </c>
      <c r="M218" s="145" t="s">
        <v>198</v>
      </c>
      <c r="N218" s="146" t="str">
        <f t="shared" ca="1" si="85"/>
        <v>Serviço</v>
      </c>
      <c r="O218" s="147" t="str">
        <f t="shared" ca="1" si="86"/>
        <v>3.8.1.</v>
      </c>
      <c r="P218" s="148" t="s">
        <v>528</v>
      </c>
      <c r="Q218" s="149" t="s">
        <v>529</v>
      </c>
      <c r="R218" s="150" t="str">
        <f t="shared" ca="1" si="87"/>
        <v>KIT TELA MOSQUITEIRO EM PVC ,  COM MOLDURAS EM ALUMINIO METALON 100MMX50MM, ESPESSURA CHAPA 1,2MM, C/FIXAÇÕES, FECHAMENTO AUTOMÁTICO DE PORTAS- INSTALADA - CONFORME DETALHE EM PROJETO</v>
      </c>
      <c r="S218" s="151" t="str">
        <f t="shared" ca="1" si="88"/>
        <v>UNIDADE</v>
      </c>
      <c r="T218" s="152">
        <f ca="1">OFFSET(CÁLCULO!H$15,ROW($T218)-ROW(T$15),0)</f>
        <v>19.12</v>
      </c>
      <c r="U218" s="153">
        <v>326</v>
      </c>
      <c r="V218" s="154" t="s">
        <v>155</v>
      </c>
      <c r="W218" s="152">
        <f t="shared" ca="1" si="89"/>
        <v>415.16</v>
      </c>
      <c r="X218" s="155">
        <f t="shared" ca="1" si="90"/>
        <v>7937.86</v>
      </c>
      <c r="Y218" s="156" t="s">
        <v>244</v>
      </c>
      <c r="Z218" t="str">
        <f t="shared" ca="1" si="91"/>
        <v>RA</v>
      </c>
      <c r="AA218" s="157">
        <f ca="1">IF($C218="S",IF($Z218="CP",$X218,IF($Z218="RA",(($X218)*QCI!$AA$3),0)),SomaAgrup)</f>
        <v>7937.86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str">
        <f t="shared" ca="1" si="94"/>
        <v>Cotação 003</v>
      </c>
      <c r="AF218" s="160">
        <f t="shared" ca="1" si="95"/>
        <v>20</v>
      </c>
      <c r="AG218" s="550">
        <f t="shared" ca="1" si="96"/>
        <v>326</v>
      </c>
      <c r="AH218" s="551">
        <f t="shared" ca="1" si="97"/>
        <v>0.27350000000000002</v>
      </c>
      <c r="AJ218" s="553">
        <v>19.12</v>
      </c>
      <c r="AL218" s="574"/>
      <c r="AM218" s="431">
        <f t="shared" ca="1" si="98"/>
        <v>7937.86</v>
      </c>
      <c r="AN218" s="617">
        <f t="shared" ca="1" si="99"/>
        <v>415.16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3</v>
      </c>
      <c r="F219">
        <f t="shared" ca="1" si="79"/>
        <v>8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0.27350000000000002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x14ac:dyDescent="0.2">
      <c r="A220">
        <f t="shared" si="75"/>
        <v>2</v>
      </c>
      <c r="B220">
        <f t="shared" ca="1" si="76"/>
        <v>2</v>
      </c>
      <c r="C220">
        <f t="shared" ca="1" si="77"/>
        <v>2</v>
      </c>
      <c r="D220">
        <f t="shared" ca="1" si="78"/>
        <v>2</v>
      </c>
      <c r="E220">
        <f ca="1">IF($C220=1,OFFSET(E220,-1,0)+MAX(1,COUNTIF(QCI!$A$13:$A$24,OFFSET(ORÇAMENTO!E220,-1,0))),OFFSET(E220,-1,0))</f>
        <v>3</v>
      </c>
      <c r="F220">
        <f t="shared" ca="1" si="79"/>
        <v>9</v>
      </c>
      <c r="G220">
        <f t="shared" ca="1" si="80"/>
        <v>0</v>
      </c>
      <c r="H220">
        <f t="shared" ca="1" si="81"/>
        <v>0</v>
      </c>
      <c r="I220">
        <f t="shared" ca="1" si="82"/>
        <v>0</v>
      </c>
      <c r="J220">
        <f t="shared" ca="1" si="83"/>
        <v>2</v>
      </c>
      <c r="K220" t="e">
        <f ca="1">IF(OR($C220="S",$C220=0),0,MATCH(OFFSET($D220,0,$C220)+IF($C220&lt;&gt;1,1,COUNTIF(QCI!$A$13:$A$24,ORÇAMENTO!E220)),OFFSET($D220,1,$C220,ROW($C$266)-ROW($C220)),0))</f>
        <v>#N/A</v>
      </c>
      <c r="L220" s="144" t="str">
        <f t="shared" ca="1" si="84"/>
        <v>F</v>
      </c>
      <c r="M220" s="145" t="s">
        <v>195</v>
      </c>
      <c r="N220" s="146" t="str">
        <f t="shared" ca="1" si="85"/>
        <v>Nível 2</v>
      </c>
      <c r="O220" s="147" t="str">
        <f t="shared" ca="1" si="86"/>
        <v>3.9.</v>
      </c>
      <c r="P220" s="148" t="s">
        <v>246</v>
      </c>
      <c r="Q220" s="149"/>
      <c r="R220" s="150" t="str">
        <f ca="1">IF($C220="S",REFERENCIA.Descricao,"(INSTALAÇÕES DE PREVENÇÃO CONTRA INCÊNDIO )")</f>
        <v>(INSTALAÇÕES DE PREVENÇÃO CONTRA INCÊNDIO 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3311.1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3311.1</v>
      </c>
      <c r="AB220" s="158">
        <f t="shared" ca="1" si="92"/>
        <v>0</v>
      </c>
      <c r="AC220" s="159" t="str">
        <f t="shared" ca="1" si="93"/>
        <v/>
      </c>
      <c r="AD220" s="105">
        <f ca="1">IF(C220&lt;=CRONO.NivelExibicao,MAX($AD$15:OFFSET(AD220,-1,0))+IF($C220&lt;&gt;1,1,MAX(1,COUNTIF(QCI!$A$13:$A$24,OFFSET($E220,-1,0)))),"")</f>
        <v>24</v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0.27350000000000002</v>
      </c>
      <c r="AJ220" s="553"/>
      <c r="AL220" s="574"/>
      <c r="AM220" s="431">
        <f t="shared" ca="1" si="98"/>
        <v>3311.1</v>
      </c>
      <c r="AN220" s="617">
        <f t="shared" ca="1" si="99"/>
        <v>0</v>
      </c>
    </row>
    <row r="221" spans="1:40" ht="25.5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3</v>
      </c>
      <c r="F221">
        <f t="shared" ca="1" si="79"/>
        <v>9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>F</v>
      </c>
      <c r="M221" s="145" t="s">
        <v>198</v>
      </c>
      <c r="N221" s="146" t="str">
        <f t="shared" ca="1" si="85"/>
        <v>Serviço</v>
      </c>
      <c r="O221" s="147" t="str">
        <f t="shared" ca="1" si="86"/>
        <v>3.9.1.</v>
      </c>
      <c r="P221" s="148" t="s">
        <v>528</v>
      </c>
      <c r="Q221" s="149" t="s">
        <v>530</v>
      </c>
      <c r="R221" s="150" t="str">
        <f t="shared" ca="1" si="87"/>
        <v>CENTRAL DE GLP 1,5X0,75 H:2,90 M, CONSTRUÍDO COM TUBULAÇÃO E CONEXÕES</v>
      </c>
      <c r="S221" s="151" t="str">
        <f t="shared" ca="1" si="88"/>
        <v>UNIDADE</v>
      </c>
      <c r="T221" s="152">
        <f ca="1">OFFSET(CÁLCULO!H$15,ROW($T221)-ROW(T$15),0)</f>
        <v>1</v>
      </c>
      <c r="U221" s="153">
        <v>2600</v>
      </c>
      <c r="V221" s="154" t="s">
        <v>155</v>
      </c>
      <c r="W221" s="152">
        <f t="shared" ca="1" si="89"/>
        <v>3311.1</v>
      </c>
      <c r="X221" s="155">
        <f t="shared" ca="1" si="90"/>
        <v>3311.1</v>
      </c>
      <c r="Y221" s="156" t="s">
        <v>244</v>
      </c>
      <c r="Z221" t="str">
        <f t="shared" ca="1" si="91"/>
        <v>RA</v>
      </c>
      <c r="AA221" s="157">
        <f ca="1">IF($C221="S",IF($Z221="CP",$X221,IF($Z221="RA",(($X221)*QCI!$AA$3),0)),SomaAgrup)</f>
        <v>3311.1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str">
        <f t="shared" ca="1" si="94"/>
        <v>Cotação 001</v>
      </c>
      <c r="AF221" s="160">
        <f t="shared" ca="1" si="95"/>
        <v>18</v>
      </c>
      <c r="AG221" s="550">
        <f t="shared" ca="1" si="96"/>
        <v>2600</v>
      </c>
      <c r="AH221" s="551">
        <f t="shared" ca="1" si="97"/>
        <v>0.27350000000000002</v>
      </c>
      <c r="AJ221" s="553">
        <v>1</v>
      </c>
      <c r="AL221" s="574"/>
      <c r="AM221" s="431">
        <f t="shared" ca="1" si="98"/>
        <v>3311.1</v>
      </c>
      <c r="AN221" s="617">
        <f t="shared" ca="1" si="99"/>
        <v>3311.1</v>
      </c>
    </row>
    <row r="222" spans="1:40" x14ac:dyDescent="0.2">
      <c r="A222">
        <f t="shared" si="75"/>
        <v>1</v>
      </c>
      <c r="B222">
        <f t="shared" ca="1" si="76"/>
        <v>1</v>
      </c>
      <c r="C222">
        <f t="shared" ca="1" si="77"/>
        <v>1</v>
      </c>
      <c r="D222">
        <f t="shared" ca="1" si="78"/>
        <v>44</v>
      </c>
      <c r="E222">
        <f ca="1">IF($C222=1,OFFSET(E222,-1,0)+MAX(1,COUNTIF(QCI!$A$13:$A$24,OFFSET(ORÇAMENTO!E222,-1,0))),OFFSET(E222,-1,0))</f>
        <v>4</v>
      </c>
      <c r="F222">
        <f t="shared" ca="1" si="79"/>
        <v>0</v>
      </c>
      <c r="G222">
        <f t="shared" ca="1" si="80"/>
        <v>0</v>
      </c>
      <c r="H222">
        <f t="shared" ca="1" si="81"/>
        <v>0</v>
      </c>
      <c r="I222">
        <f t="shared" ca="1" si="82"/>
        <v>0</v>
      </c>
      <c r="J222">
        <f t="shared" ca="1" si="83"/>
        <v>44</v>
      </c>
      <c r="K222" t="e">
        <f ca="1">IF(OR($C222="S",$C222=0),0,MATCH(OFFSET($D222,0,$C222)+IF($C222&lt;&gt;1,1,COUNTIF(QCI!$A$13:$A$24,ORÇAMENTO!E222)),OFFSET($D222,1,$C222,ROW($C$266)-ROW($C222)),0))</f>
        <v>#N/A</v>
      </c>
      <c r="L222" s="144" t="str">
        <f t="shared" ca="1" si="84"/>
        <v>F</v>
      </c>
      <c r="M222" s="145" t="s">
        <v>194</v>
      </c>
      <c r="N222" s="146" t="str">
        <f t="shared" ca="1" si="85"/>
        <v>Meta</v>
      </c>
      <c r="O222" s="147" t="str">
        <f t="shared" ca="1" si="86"/>
        <v>4.</v>
      </c>
      <c r="P222" s="148" t="s">
        <v>246</v>
      </c>
      <c r="Q222" s="149"/>
      <c r="R222" s="150" t="str">
        <f ca="1">IF($C222="S",REFERENCIA.Descricao,"(BANHEIRO ADAPTADO )")</f>
        <v>(BANHEIRO ADAPTADO 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4664.12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4664.12</v>
      </c>
      <c r="AB222" s="158">
        <f t="shared" ca="1" si="92"/>
        <v>0</v>
      </c>
      <c r="AC222" s="159" t="str">
        <f t="shared" ca="1" si="93"/>
        <v/>
      </c>
      <c r="AD222" s="105">
        <f ca="1">IF(C222&lt;=CRONO.NivelExibicao,MAX($AD$15:OFFSET(AD222,-1,0))+IF($C222&lt;&gt;1,1,MAX(1,COUNTIF(QCI!$A$13:$A$24,OFFSET($E222,-1,0)))),"")</f>
        <v>25</v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0.27350000000000002</v>
      </c>
      <c r="AJ222" s="553"/>
      <c r="AL222" s="574"/>
      <c r="AM222" s="431">
        <f t="shared" ca="1" si="98"/>
        <v>4664.12</v>
      </c>
      <c r="AN222" s="617">
        <f t="shared" ca="1" si="99"/>
        <v>0</v>
      </c>
    </row>
    <row r="223" spans="1:40" x14ac:dyDescent="0.2">
      <c r="A223" t="str">
        <f t="shared" si="75"/>
        <v>S</v>
      </c>
      <c r="B223">
        <f t="shared" ca="1" si="76"/>
        <v>2</v>
      </c>
      <c r="C223">
        <f t="shared" ca="1" si="77"/>
        <v>2</v>
      </c>
      <c r="D223">
        <f t="shared" ca="1" si="78"/>
        <v>24</v>
      </c>
      <c r="E223">
        <f ca="1">IF($C223=1,OFFSET(E223,-1,0)+MAX(1,COUNTIF(QCI!$A$13:$A$24,OFFSET(ORÇAMENTO!E223,-1,0))),OFFSET(E223,-1,0))</f>
        <v>4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0</v>
      </c>
      <c r="J223">
        <f t="shared" ca="1" si="83"/>
        <v>43</v>
      </c>
      <c r="K223">
        <f ca="1">IF(OR($C223="S",$C223=0),0,MATCH(OFFSET($D223,0,$C223)+IF($C223&lt;&gt;1,1,COUNTIF(QCI!$A$13:$A$24,ORÇAMENTO!E223)),OFFSET($D223,1,$C223,ROW($C$266)-ROW($C223)),0))</f>
        <v>24</v>
      </c>
      <c r="L223" s="144" t="str">
        <f t="shared" ca="1" si="84"/>
        <v>F</v>
      </c>
      <c r="M223" s="145" t="s">
        <v>198</v>
      </c>
      <c r="N223" s="146" t="str">
        <f t="shared" ca="1" si="85"/>
        <v>Nível 2</v>
      </c>
      <c r="O223" s="147" t="str">
        <f t="shared" ca="1" si="86"/>
        <v>4.1.</v>
      </c>
      <c r="P223" s="148" t="s">
        <v>246</v>
      </c>
      <c r="Q223" s="149"/>
      <c r="R223" s="150" t="str">
        <f ca="1">IF($C223="S",REFERENCIA.Descricao,"(REVESTIMENTOS/ INSTALAÇÕES HIDRAULICAS)")</f>
        <v>(REVESTIMENTOS/ INSTALAÇÕES HIDRAULICAS)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4435.18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4435.18</v>
      </c>
      <c r="AB223" s="158">
        <f t="shared" ca="1" si="92"/>
        <v>0</v>
      </c>
      <c r="AC223" s="159" t="str">
        <f t="shared" ca="1" si="93"/>
        <v/>
      </c>
      <c r="AD223" s="105">
        <f ca="1">IF(C223&lt;=CRONO.NivelExibicao,MAX($AD$15:OFFSET(AD223,-1,0))+IF($C223&lt;&gt;1,1,MAX(1,COUNTIF(QCI!$A$13:$A$24,OFFSET($E223,-1,0)))),"")</f>
        <v>26</v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0.27350000000000002</v>
      </c>
      <c r="AJ223" s="553"/>
      <c r="AL223" s="574"/>
      <c r="AM223" s="431">
        <f t="shared" ca="1" si="98"/>
        <v>4435.18</v>
      </c>
      <c r="AN223" s="617">
        <f t="shared" ca="1" si="99"/>
        <v>0</v>
      </c>
    </row>
    <row r="224" spans="1:40" ht="38.25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4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>F</v>
      </c>
      <c r="M224" s="145" t="s">
        <v>198</v>
      </c>
      <c r="N224" s="146" t="str">
        <f t="shared" ca="1" si="85"/>
        <v>Serviço</v>
      </c>
      <c r="O224" s="147" t="str">
        <f t="shared" ca="1" si="86"/>
        <v>4.1.1.</v>
      </c>
      <c r="P224" s="148" t="s">
        <v>246</v>
      </c>
      <c r="Q224" s="149" t="s">
        <v>466</v>
      </c>
      <c r="R224" s="150" t="str">
        <f t="shared" ca="1" si="87"/>
        <v>CONTRAPISO EM ARGAMASSA TRAÇO 1:4 (CIMENTO E AREIA), PREPARO MECÂNICO COM BETONEIRA 400 L, APLICADO EM ÁREAS SECAS SOBRE LAJE, NÃO ADERIDO, ESPESSURA 6CM. AF_06/2014</v>
      </c>
      <c r="S224" s="151" t="str">
        <f t="shared" ca="1" si="88"/>
        <v>M2</v>
      </c>
      <c r="T224" s="152">
        <f ca="1">OFFSET(CÁLCULO!H$15,ROW($T224)-ROW(T$15),0)</f>
        <v>2.57</v>
      </c>
      <c r="U224" s="153">
        <v>35.94</v>
      </c>
      <c r="V224" s="154" t="s">
        <v>155</v>
      </c>
      <c r="W224" s="152">
        <f t="shared" ca="1" si="89"/>
        <v>45.77</v>
      </c>
      <c r="X224" s="155">
        <f t="shared" ca="1" si="90"/>
        <v>117.63</v>
      </c>
      <c r="Y224" s="156" t="s">
        <v>244</v>
      </c>
      <c r="Z224" t="str">
        <f t="shared" ca="1" si="91"/>
        <v>RA</v>
      </c>
      <c r="AA224" s="157">
        <f ca="1">IF($C224="S",IF($Z224="CP",$X224,IF($Z224="RA",(($X224)*QCI!$AA$3),0)),SomaAgrup)</f>
        <v>117.63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str">
        <f t="shared" ca="1" si="94"/>
        <v>SINAPI 87700</v>
      </c>
      <c r="AF224" s="160">
        <f t="shared" ca="1" si="95"/>
        <v>5379</v>
      </c>
      <c r="AG224" s="550">
        <f t="shared" ca="1" si="96"/>
        <v>35.94</v>
      </c>
      <c r="AH224" s="551">
        <f t="shared" ca="1" si="97"/>
        <v>0.27350000000000002</v>
      </c>
      <c r="AJ224" s="553">
        <v>2.57</v>
      </c>
      <c r="AL224" s="574"/>
      <c r="AM224" s="431">
        <f t="shared" ca="1" si="98"/>
        <v>117.63</v>
      </c>
      <c r="AN224" s="617">
        <f t="shared" ca="1" si="99"/>
        <v>45.77</v>
      </c>
    </row>
    <row r="225" spans="1:40" ht="5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4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2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>F</v>
      </c>
      <c r="M225" s="145" t="s">
        <v>198</v>
      </c>
      <c r="N225" s="146" t="str">
        <f t="shared" ca="1" si="85"/>
        <v>Serviço</v>
      </c>
      <c r="O225" s="147" t="str">
        <f t="shared" ca="1" si="86"/>
        <v>4.1.2.</v>
      </c>
      <c r="P225" s="148" t="s">
        <v>246</v>
      </c>
      <c r="Q225" s="149" t="s">
        <v>471</v>
      </c>
      <c r="R225" s="150" t="str">
        <f t="shared" ca="1" si="87"/>
        <v>REVESTIMENTO CERÂMICO PARA PAREDES INTERNAS COM PLACAS TIPO ESMALTADA EXTRA DE DIMENSÕES 20X20 CM APLICADAS EM AMBIENTES DE ÁREA MENOR QUE 5 M² A MEIA ALTURA DAS PAREDES. AF_06/2014</v>
      </c>
      <c r="S225" s="151" t="str">
        <f t="shared" ca="1" si="88"/>
        <v>M2</v>
      </c>
      <c r="T225" s="152">
        <f ca="1">OFFSET(CÁLCULO!H$15,ROW($T225)-ROW(T$15),0)</f>
        <v>16.11</v>
      </c>
      <c r="U225" s="153">
        <v>46.51</v>
      </c>
      <c r="V225" s="154" t="s">
        <v>155</v>
      </c>
      <c r="W225" s="152">
        <f t="shared" ca="1" si="89"/>
        <v>59.23</v>
      </c>
      <c r="X225" s="155">
        <f t="shared" ca="1" si="90"/>
        <v>954.2</v>
      </c>
      <c r="Y225" s="156" t="s">
        <v>244</v>
      </c>
      <c r="Z225" t="str">
        <f t="shared" ca="1" si="91"/>
        <v>RA</v>
      </c>
      <c r="AA225" s="157">
        <f ca="1">IF($C225="S",IF($Z225="CP",$X225,IF($Z225="RA",(($X225)*QCI!$AA$3),0)),SomaAgrup)</f>
        <v>954.2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str">
        <f t="shared" ca="1" si="94"/>
        <v>SINAPI 87266</v>
      </c>
      <c r="AF225" s="160">
        <f t="shared" ca="1" si="95"/>
        <v>5603</v>
      </c>
      <c r="AG225" s="550">
        <f t="shared" ca="1" si="96"/>
        <v>46.51</v>
      </c>
      <c r="AH225" s="551">
        <f t="shared" ca="1" si="97"/>
        <v>0.27350000000000002</v>
      </c>
      <c r="AJ225" s="553">
        <v>16.11</v>
      </c>
      <c r="AL225" s="574"/>
      <c r="AM225" s="431">
        <f t="shared" ca="1" si="98"/>
        <v>954.2</v>
      </c>
      <c r="AN225" s="617">
        <f t="shared" ca="1" si="99"/>
        <v>59.23</v>
      </c>
    </row>
    <row r="226" spans="1:40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4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3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>F</v>
      </c>
      <c r="M226" s="145" t="s">
        <v>198</v>
      </c>
      <c r="N226" s="146" t="str">
        <f t="shared" ca="1" si="85"/>
        <v>Serviço</v>
      </c>
      <c r="O226" s="147" t="str">
        <f t="shared" ca="1" si="86"/>
        <v>4.1.3.</v>
      </c>
      <c r="P226" s="148" t="s">
        <v>452</v>
      </c>
      <c r="Q226" s="658" t="s">
        <v>535</v>
      </c>
      <c r="R226" s="150" t="str">
        <f t="shared" ca="1" si="87"/>
        <v>REJUNTE COLORIDO, CIMENTICIO</v>
      </c>
      <c r="S226" s="151" t="str">
        <f t="shared" ca="1" si="88"/>
        <v xml:space="preserve">KG    </v>
      </c>
      <c r="T226" s="152">
        <f ca="1">OFFSET(CÁLCULO!H$15,ROW($T226)-ROW(T$15),0)</f>
        <v>5.5</v>
      </c>
      <c r="U226" s="153">
        <v>2.99</v>
      </c>
      <c r="V226" s="154" t="s">
        <v>155</v>
      </c>
      <c r="W226" s="152">
        <f t="shared" ca="1" si="89"/>
        <v>3.81</v>
      </c>
      <c r="X226" s="155">
        <f t="shared" ca="1" si="90"/>
        <v>20.96</v>
      </c>
      <c r="Y226" s="156" t="s">
        <v>244</v>
      </c>
      <c r="Z226" t="str">
        <f t="shared" ca="1" si="91"/>
        <v>RA</v>
      </c>
      <c r="AA226" s="157">
        <f ca="1">IF($C226="S",IF($Z226="CP",$X226,IF($Z226="RA",(($X226)*QCI!$AA$3),0)),SomaAgrup)</f>
        <v>20.96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str">
        <f t="shared" ca="1" si="94"/>
        <v>SINAPI-I 34357</v>
      </c>
      <c r="AF226" s="160">
        <f t="shared" ca="1" si="95"/>
        <v>10375</v>
      </c>
      <c r="AG226" s="550">
        <f t="shared" ca="1" si="96"/>
        <v>2.99</v>
      </c>
      <c r="AH226" s="551">
        <f t="shared" ca="1" si="97"/>
        <v>0.27350000000000002</v>
      </c>
      <c r="AJ226" s="553">
        <v>5.5</v>
      </c>
      <c r="AL226" s="574"/>
      <c r="AM226" s="431">
        <f t="shared" ca="1" si="98"/>
        <v>20.96</v>
      </c>
      <c r="AN226" s="617">
        <f t="shared" ca="1" si="99"/>
        <v>3.81</v>
      </c>
    </row>
    <row r="227" spans="1:40" ht="5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4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4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>F</v>
      </c>
      <c r="M227" s="145" t="s">
        <v>198</v>
      </c>
      <c r="N227" s="146" t="str">
        <f t="shared" ca="1" si="85"/>
        <v>Serviço</v>
      </c>
      <c r="O227" s="147" t="str">
        <f t="shared" ca="1" si="86"/>
        <v>4.1.4.</v>
      </c>
      <c r="P227" s="148" t="s">
        <v>246</v>
      </c>
      <c r="Q227" s="149" t="s">
        <v>472</v>
      </c>
      <c r="R227" s="150" t="str">
        <f t="shared" ca="1" si="87"/>
        <v>(COMPOSIÇÃO REPRESENTATIVA) DO SERVIÇO DE REVESTIMENTO CERÂMICO PARA PISO COM PLACAS TIPO GRÉS DE DIMENSÕES 35X35 CM, PARA EDIFICAÇÃO HABITACIONAL UNIFAMILIAR (CASA) E EDIFICAÇÃO PÚBLICA PADRÃO. AF_11/2014</v>
      </c>
      <c r="S227" s="151" t="str">
        <f t="shared" ca="1" si="88"/>
        <v>M2</v>
      </c>
      <c r="T227" s="152">
        <f ca="1">OFFSET(CÁLCULO!H$15,ROW($T227)-ROW(T$15),0)</f>
        <v>2.57</v>
      </c>
      <c r="U227" s="153">
        <v>30.11</v>
      </c>
      <c r="V227" s="154" t="s">
        <v>155</v>
      </c>
      <c r="W227" s="152">
        <f t="shared" ca="1" si="89"/>
        <v>38.35</v>
      </c>
      <c r="X227" s="155">
        <f t="shared" ca="1" si="90"/>
        <v>98.56</v>
      </c>
      <c r="Y227" s="156" t="s">
        <v>244</v>
      </c>
      <c r="Z227" t="str">
        <f t="shared" ca="1" si="91"/>
        <v>RA</v>
      </c>
      <c r="AA227" s="157">
        <f ca="1">IF($C227="S",IF($Z227="CP",$X227,IF($Z227="RA",(($X227)*QCI!$AA$3),0)),SomaAgrup)</f>
        <v>98.56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str">
        <f t="shared" ca="1" si="94"/>
        <v>SINAPI 89171</v>
      </c>
      <c r="AF227" s="160">
        <f t="shared" ca="1" si="95"/>
        <v>5309</v>
      </c>
      <c r="AG227" s="550">
        <f t="shared" ca="1" si="96"/>
        <v>30.11</v>
      </c>
      <c r="AH227" s="551">
        <f t="shared" ca="1" si="97"/>
        <v>0.27350000000000002</v>
      </c>
      <c r="AJ227" s="553">
        <v>2.57</v>
      </c>
      <c r="AL227" s="574"/>
      <c r="AM227" s="431">
        <f t="shared" ca="1" si="98"/>
        <v>98.56</v>
      </c>
      <c r="AN227" s="617">
        <f t="shared" ca="1" si="99"/>
        <v>38.35</v>
      </c>
    </row>
    <row r="228" spans="1:40" ht="25.5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4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5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>F</v>
      </c>
      <c r="M228" s="145" t="s">
        <v>198</v>
      </c>
      <c r="N228" s="146" t="str">
        <f t="shared" ca="1" si="85"/>
        <v>Serviço</v>
      </c>
      <c r="O228" s="147" t="str">
        <f t="shared" ca="1" si="86"/>
        <v>4.1.5.</v>
      </c>
      <c r="P228" s="148" t="s">
        <v>246</v>
      </c>
      <c r="Q228" s="149" t="s">
        <v>522</v>
      </c>
      <c r="R228" s="150" t="str">
        <f t="shared" ca="1" si="87"/>
        <v>DEMOLIÇÃO DE ALVENARIA DE BLOCO FURADO, DE FORMA MANUAL, SEM REAPROVEITAMENTO. AF_12/2017</v>
      </c>
      <c r="S228" s="151" t="str">
        <f t="shared" ca="1" si="88"/>
        <v>M3</v>
      </c>
      <c r="T228" s="152">
        <f ca="1">OFFSET(CÁLCULO!H$15,ROW($T228)-ROW(T$15),0)</f>
        <v>0.5</v>
      </c>
      <c r="U228" s="153">
        <v>45.22</v>
      </c>
      <c r="V228" s="154" t="s">
        <v>155</v>
      </c>
      <c r="W228" s="152">
        <f t="shared" ca="1" si="89"/>
        <v>57.59</v>
      </c>
      <c r="X228" s="155">
        <f t="shared" ca="1" si="90"/>
        <v>28.8</v>
      </c>
      <c r="Y228" s="156" t="s">
        <v>244</v>
      </c>
      <c r="Z228" t="str">
        <f t="shared" ca="1" si="91"/>
        <v>RA</v>
      </c>
      <c r="AA228" s="157">
        <f ca="1">IF($C228="S",IF($Z228="CP",$X228,IF($Z228="RA",(($X228)*QCI!$AA$3),0)),SomaAgrup)</f>
        <v>28.8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str">
        <f t="shared" ca="1" si="94"/>
        <v>SINAPI 97622</v>
      </c>
      <c r="AF228" s="160">
        <f t="shared" ca="1" si="95"/>
        <v>5939</v>
      </c>
      <c r="AG228" s="550">
        <f t="shared" ca="1" si="96"/>
        <v>45.22</v>
      </c>
      <c r="AH228" s="551">
        <f t="shared" ca="1" si="97"/>
        <v>0.27350000000000002</v>
      </c>
      <c r="AJ228" s="553">
        <v>0.5</v>
      </c>
      <c r="AL228" s="574"/>
      <c r="AM228" s="431">
        <f t="shared" ca="1" si="98"/>
        <v>28.8</v>
      </c>
      <c r="AN228" s="617">
        <f t="shared" ca="1" si="99"/>
        <v>57.59</v>
      </c>
    </row>
    <row r="229" spans="1:40" ht="38.25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4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6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>F</v>
      </c>
      <c r="M229" s="145" t="s">
        <v>198</v>
      </c>
      <c r="N229" s="146" t="str">
        <f t="shared" ca="1" si="85"/>
        <v>Serviço</v>
      </c>
      <c r="O229" s="147" t="str">
        <f t="shared" ca="1" si="86"/>
        <v>4.1.6.</v>
      </c>
      <c r="P229" s="148" t="s">
        <v>246</v>
      </c>
      <c r="Q229" s="149" t="s">
        <v>492</v>
      </c>
      <c r="R229" s="150" t="str">
        <f t="shared" ca="1" si="87"/>
        <v>TUBO PVC, SERIE NORMAL, ESGOTO PREDIAL, DN 100 MM, FORNECIDO E INSTALADO EM RAMAL DE DESCARGA OU RAMAL DE ESGOTO SANITÁRIO. AF_12/2014</v>
      </c>
      <c r="S229" s="151" t="str">
        <f t="shared" ca="1" si="88"/>
        <v>M</v>
      </c>
      <c r="T229" s="152">
        <f ca="1">OFFSET(CÁLCULO!H$15,ROW($T229)-ROW(T$15),0)</f>
        <v>12</v>
      </c>
      <c r="U229" s="153">
        <v>44.13</v>
      </c>
      <c r="V229" s="154" t="s">
        <v>155</v>
      </c>
      <c r="W229" s="152">
        <f t="shared" ca="1" si="89"/>
        <v>56.2</v>
      </c>
      <c r="X229" s="155">
        <f t="shared" ca="1" si="90"/>
        <v>674.4</v>
      </c>
      <c r="Y229" s="156" t="s">
        <v>244</v>
      </c>
      <c r="Z229" t="str">
        <f t="shared" ca="1" si="91"/>
        <v>RA</v>
      </c>
      <c r="AA229" s="157">
        <f ca="1">IF($C229="S",IF($Z229="CP",$X229,IF($Z229="RA",(($X229)*QCI!$AA$3),0)),SomaAgrup)</f>
        <v>674.4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str">
        <f t="shared" ca="1" si="94"/>
        <v>SINAPI 89714</v>
      </c>
      <c r="AF229" s="160">
        <f t="shared" ca="1" si="95"/>
        <v>3068</v>
      </c>
      <c r="AG229" s="550">
        <f t="shared" ca="1" si="96"/>
        <v>44.13</v>
      </c>
      <c r="AH229" s="551">
        <f t="shared" ca="1" si="97"/>
        <v>0.27350000000000002</v>
      </c>
      <c r="AJ229" s="553">
        <v>12</v>
      </c>
      <c r="AL229" s="574"/>
      <c r="AM229" s="431">
        <f t="shared" ca="1" si="98"/>
        <v>674.4</v>
      </c>
      <c r="AN229" s="617">
        <f t="shared" ca="1" si="99"/>
        <v>56.2</v>
      </c>
    </row>
    <row r="230" spans="1:40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4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7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>F</v>
      </c>
      <c r="M230" s="145" t="s">
        <v>198</v>
      </c>
      <c r="N230" s="146" t="str">
        <f t="shared" ca="1" si="85"/>
        <v>Serviço</v>
      </c>
      <c r="O230" s="147" t="str">
        <f t="shared" ca="1" si="86"/>
        <v>4.1.7.</v>
      </c>
      <c r="P230" s="148" t="s">
        <v>452</v>
      </c>
      <c r="Q230" s="149" t="s">
        <v>493</v>
      </c>
      <c r="R230" s="150" t="str">
        <f t="shared" ca="1" si="87"/>
        <v>TUBO PVC, SOLDAVEL, DN 25 MM, AGUA FRIA (NBR-5648)</v>
      </c>
      <c r="S230" s="151" t="str">
        <f t="shared" ca="1" si="88"/>
        <v xml:space="preserve">M     </v>
      </c>
      <c r="T230" s="152">
        <f ca="1">OFFSET(CÁLCULO!H$15,ROW($T230)-ROW(T$15),0)</f>
        <v>12</v>
      </c>
      <c r="U230" s="153">
        <v>2.5</v>
      </c>
      <c r="V230" s="154" t="s">
        <v>155</v>
      </c>
      <c r="W230" s="152">
        <f t="shared" ca="1" si="89"/>
        <v>3.18</v>
      </c>
      <c r="X230" s="155">
        <f t="shared" ca="1" si="90"/>
        <v>38.159999999999997</v>
      </c>
      <c r="Y230" s="156" t="s">
        <v>244</v>
      </c>
      <c r="Z230" t="str">
        <f t="shared" ca="1" si="91"/>
        <v>RA</v>
      </c>
      <c r="AA230" s="157">
        <f ca="1">IF($C230="S",IF($Z230="CP",$X230,IF($Z230="RA",(($X230)*QCI!$AA$3),0)),SomaAgrup)</f>
        <v>38.159999999999997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str">
        <f t="shared" ca="1" si="94"/>
        <v>SINAPI-I 9868</v>
      </c>
      <c r="AF230" s="160">
        <f t="shared" ca="1" si="95"/>
        <v>11395</v>
      </c>
      <c r="AG230" s="550">
        <f t="shared" ca="1" si="96"/>
        <v>2.5</v>
      </c>
      <c r="AH230" s="551">
        <f t="shared" ca="1" si="97"/>
        <v>0.27350000000000002</v>
      </c>
      <c r="AJ230" s="553">
        <v>12</v>
      </c>
      <c r="AL230" s="574"/>
      <c r="AM230" s="431">
        <f t="shared" ca="1" si="98"/>
        <v>38.159999999999997</v>
      </c>
      <c r="AN230" s="617">
        <f t="shared" ca="1" si="99"/>
        <v>3.18</v>
      </c>
    </row>
    <row r="231" spans="1:40" ht="38.25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4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8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>F</v>
      </c>
      <c r="M231" s="145" t="s">
        <v>198</v>
      </c>
      <c r="N231" s="146" t="str">
        <f t="shared" ca="1" si="85"/>
        <v>Serviço</v>
      </c>
      <c r="O231" s="147" t="str">
        <f t="shared" ca="1" si="86"/>
        <v>4.1.8.</v>
      </c>
      <c r="P231" s="148" t="s">
        <v>246</v>
      </c>
      <c r="Q231" s="149" t="s">
        <v>494</v>
      </c>
      <c r="R231" s="150" t="str">
        <f t="shared" ca="1" si="87"/>
        <v>TUBO PVC, SERIE NORMAL, ESGOTO PREDIAL, DN 50 MM, FORNECIDO E INSTALADO EM RAMAL DE DESCARGA OU RAMAL DE ESGOTO SANITÁRIO. AF_12/2014</v>
      </c>
      <c r="S231" s="151" t="str">
        <f t="shared" ca="1" si="88"/>
        <v>M</v>
      </c>
      <c r="T231" s="152">
        <f ca="1">OFFSET(CÁLCULO!H$15,ROW($T231)-ROW(T$15),0)</f>
        <v>3.5</v>
      </c>
      <c r="U231" s="153">
        <v>22.45</v>
      </c>
      <c r="V231" s="154" t="s">
        <v>155</v>
      </c>
      <c r="W231" s="152">
        <f t="shared" ca="1" si="89"/>
        <v>28.59</v>
      </c>
      <c r="X231" s="155">
        <f t="shared" ca="1" si="90"/>
        <v>100.07</v>
      </c>
      <c r="Y231" s="156" t="s">
        <v>244</v>
      </c>
      <c r="Z231" t="str">
        <f t="shared" ca="1" si="91"/>
        <v>RA</v>
      </c>
      <c r="AA231" s="157">
        <f ca="1">IF($C231="S",IF($Z231="CP",$X231,IF($Z231="RA",(($X231)*QCI!$AA$3),0)),SomaAgrup)</f>
        <v>100.07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str">
        <f t="shared" ca="1" si="94"/>
        <v>SINAPI 89712</v>
      </c>
      <c r="AF231" s="160">
        <f t="shared" ca="1" si="95"/>
        <v>3066</v>
      </c>
      <c r="AG231" s="550">
        <f t="shared" ca="1" si="96"/>
        <v>22.45</v>
      </c>
      <c r="AH231" s="551">
        <f t="shared" ca="1" si="97"/>
        <v>0.27350000000000002</v>
      </c>
      <c r="AJ231" s="553">
        <v>3.5</v>
      </c>
      <c r="AL231" s="574"/>
      <c r="AM231" s="431">
        <f t="shared" ca="1" si="98"/>
        <v>100.07</v>
      </c>
      <c r="AN231" s="617">
        <f t="shared" ca="1" si="99"/>
        <v>28.59</v>
      </c>
    </row>
    <row r="232" spans="1:40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4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9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>F</v>
      </c>
      <c r="M232" s="145" t="s">
        <v>198</v>
      </c>
      <c r="N232" s="146" t="str">
        <f t="shared" ca="1" si="85"/>
        <v>Serviço</v>
      </c>
      <c r="O232" s="147" t="str">
        <f t="shared" ca="1" si="86"/>
        <v>4.1.9.</v>
      </c>
      <c r="P232" s="148" t="s">
        <v>246</v>
      </c>
      <c r="Q232" s="149" t="s">
        <v>495</v>
      </c>
      <c r="R232" s="150" t="str">
        <f t="shared" ca="1" si="87"/>
        <v>CAIXA DE PASSAGEM 30X30X40 COM TAMPA E DRENO BRITA</v>
      </c>
      <c r="S232" s="151" t="str">
        <f t="shared" ca="1" si="88"/>
        <v>UN</v>
      </c>
      <c r="T232" s="152">
        <f ca="1">OFFSET(CÁLCULO!H$15,ROW($T232)-ROW(T$15),0)</f>
        <v>2</v>
      </c>
      <c r="U232" s="153">
        <v>157.83000000000001</v>
      </c>
      <c r="V232" s="154" t="s">
        <v>155</v>
      </c>
      <c r="W232" s="152">
        <f t="shared" ca="1" si="89"/>
        <v>201</v>
      </c>
      <c r="X232" s="155">
        <f t="shared" ca="1" si="90"/>
        <v>402</v>
      </c>
      <c r="Y232" s="156" t="s">
        <v>244</v>
      </c>
      <c r="Z232" t="str">
        <f t="shared" ca="1" si="91"/>
        <v>RA</v>
      </c>
      <c r="AA232" s="157">
        <f ca="1">IF($C232="S",IF($Z232="CP",$X232,IF($Z232="RA",(($X232)*QCI!$AA$3),0)),SomaAgrup)</f>
        <v>402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str">
        <f t="shared" ca="1" si="94"/>
        <v>SINAPI 83446</v>
      </c>
      <c r="AF232" s="160">
        <f t="shared" ca="1" si="95"/>
        <v>2604</v>
      </c>
      <c r="AG232" s="550">
        <f t="shared" ca="1" si="96"/>
        <v>157.83000000000001</v>
      </c>
      <c r="AH232" s="551">
        <f t="shared" ca="1" si="97"/>
        <v>0.27350000000000002</v>
      </c>
      <c r="AJ232" s="553">
        <v>2</v>
      </c>
      <c r="AL232" s="574"/>
      <c r="AM232" s="431">
        <f t="shared" ca="1" si="98"/>
        <v>402</v>
      </c>
      <c r="AN232" s="617">
        <f t="shared" ca="1" si="99"/>
        <v>201</v>
      </c>
    </row>
    <row r="233" spans="1:40" ht="25.5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4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10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>F</v>
      </c>
      <c r="M233" s="145" t="s">
        <v>198</v>
      </c>
      <c r="N233" s="146" t="str">
        <f t="shared" ca="1" si="85"/>
        <v>Serviço</v>
      </c>
      <c r="O233" s="147" t="str">
        <f t="shared" ca="1" si="86"/>
        <v>4.1.10.</v>
      </c>
      <c r="P233" s="148" t="s">
        <v>452</v>
      </c>
      <c r="Q233" s="149" t="s">
        <v>496</v>
      </c>
      <c r="R233" s="150" t="str">
        <f t="shared" ca="1" si="87"/>
        <v>BACIA SANITARIA (VASO) COM CAIXA ACOPLADA, DE LOUCA BRANCA</v>
      </c>
      <c r="S233" s="151" t="str">
        <f t="shared" ca="1" si="88"/>
        <v xml:space="preserve">UN    </v>
      </c>
      <c r="T233" s="152">
        <f ca="1">OFFSET(CÁLCULO!H$15,ROW($T233)-ROW(T$15),0)</f>
        <v>1</v>
      </c>
      <c r="U233" s="153">
        <v>351.95</v>
      </c>
      <c r="V233" s="154" t="s">
        <v>155</v>
      </c>
      <c r="W233" s="152">
        <f t="shared" ca="1" si="89"/>
        <v>448.21</v>
      </c>
      <c r="X233" s="155">
        <f t="shared" ca="1" si="90"/>
        <v>448.21</v>
      </c>
      <c r="Y233" s="156" t="s">
        <v>244</v>
      </c>
      <c r="Z233" t="str">
        <f t="shared" ca="1" si="91"/>
        <v>RA</v>
      </c>
      <c r="AA233" s="157">
        <f ca="1">IF($C233="S",IF($Z233="CP",$X233,IF($Z233="RA",(($X233)*QCI!$AA$3),0)),SomaAgrup)</f>
        <v>448.21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str">
        <f t="shared" ca="1" si="94"/>
        <v>SINAPI-I 10422</v>
      </c>
      <c r="AF233" s="160">
        <f t="shared" ca="1" si="95"/>
        <v>6787</v>
      </c>
      <c r="AG233" s="550">
        <f t="shared" ca="1" si="96"/>
        <v>351.95</v>
      </c>
      <c r="AH233" s="551">
        <f t="shared" ca="1" si="97"/>
        <v>0.27350000000000002</v>
      </c>
      <c r="AJ233" s="553">
        <v>1</v>
      </c>
      <c r="AL233" s="574"/>
      <c r="AM233" s="431">
        <f t="shared" ca="1" si="98"/>
        <v>448.21</v>
      </c>
      <c r="AN233" s="617">
        <f t="shared" ca="1" si="99"/>
        <v>448.21</v>
      </c>
    </row>
    <row r="234" spans="1:40" ht="38.25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4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11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>F</v>
      </c>
      <c r="M234" s="145" t="s">
        <v>198</v>
      </c>
      <c r="N234" s="146" t="str">
        <f t="shared" ca="1" si="85"/>
        <v>Serviço</v>
      </c>
      <c r="O234" s="147" t="str">
        <f t="shared" ca="1" si="86"/>
        <v>4.1.11.</v>
      </c>
      <c r="P234" s="148" t="s">
        <v>246</v>
      </c>
      <c r="Q234" s="149" t="s">
        <v>497</v>
      </c>
      <c r="R234" s="150" t="str">
        <f t="shared" ca="1" si="87"/>
        <v>CAIXA SIFONADA, PVC, DN 100 X 100 X 50 MM, JUNTA ELÁSTICA, FORNECIDA E INSTALADA EM RAMAL DE DESCARGA OU EM RAMAL DE ESGOTO SANITÁRIO. AF_12/2014</v>
      </c>
      <c r="S234" s="151" t="str">
        <f t="shared" ca="1" si="88"/>
        <v>UN</v>
      </c>
      <c r="T234" s="152">
        <f ca="1">OFFSET(CÁLCULO!H$15,ROW($T234)-ROW(T$15),0)</f>
        <v>1</v>
      </c>
      <c r="U234" s="153">
        <v>25.92</v>
      </c>
      <c r="V234" s="154" t="s">
        <v>155</v>
      </c>
      <c r="W234" s="152">
        <f t="shared" ca="1" si="89"/>
        <v>33.01</v>
      </c>
      <c r="X234" s="155">
        <f t="shared" ca="1" si="90"/>
        <v>33.01</v>
      </c>
      <c r="Y234" s="156" t="s">
        <v>244</v>
      </c>
      <c r="Z234" t="str">
        <f t="shared" ca="1" si="91"/>
        <v>RA</v>
      </c>
      <c r="AA234" s="157">
        <f ca="1">IF($C234="S",IF($Z234="CP",$X234,IF($Z234="RA",(($X234)*QCI!$AA$3),0)),SomaAgrup)</f>
        <v>33.01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str">
        <f t="shared" ca="1" si="94"/>
        <v>SINAPI 89707</v>
      </c>
      <c r="AF234" s="160">
        <f t="shared" ca="1" si="95"/>
        <v>4398</v>
      </c>
      <c r="AG234" s="550">
        <f t="shared" ca="1" si="96"/>
        <v>25.92</v>
      </c>
      <c r="AH234" s="551">
        <f t="shared" ca="1" si="97"/>
        <v>0.27350000000000002</v>
      </c>
      <c r="AJ234" s="553">
        <v>1</v>
      </c>
      <c r="AL234" s="574"/>
      <c r="AM234" s="431">
        <f t="shared" ca="1" si="98"/>
        <v>33.01</v>
      </c>
      <c r="AN234" s="617">
        <f t="shared" ca="1" si="99"/>
        <v>33.01</v>
      </c>
    </row>
    <row r="235" spans="1:40" ht="38.25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4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12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>F</v>
      </c>
      <c r="M235" s="145" t="s">
        <v>198</v>
      </c>
      <c r="N235" s="146" t="str">
        <f t="shared" ca="1" si="85"/>
        <v>Serviço</v>
      </c>
      <c r="O235" s="147" t="str">
        <f t="shared" ca="1" si="86"/>
        <v>4.1.12.</v>
      </c>
      <c r="P235" s="148" t="s">
        <v>246</v>
      </c>
      <c r="Q235" s="149" t="s">
        <v>498</v>
      </c>
      <c r="R235" s="150" t="str">
        <f t="shared" ca="1" si="87"/>
        <v>TE, PVC, SOLDÁVEL, DN 25MM, INSTALADO EM RAMAL DE DISTRIBUIÇÃO DE ÁGUA - FORNECIMENTO E INSTALAÇÃO. AF_12/2014</v>
      </c>
      <c r="S235" s="151" t="str">
        <f t="shared" ca="1" si="88"/>
        <v>UN</v>
      </c>
      <c r="T235" s="152">
        <f ca="1">OFFSET(CÁLCULO!H$15,ROW($T235)-ROW(T$15),0)</f>
        <v>4</v>
      </c>
      <c r="U235" s="153">
        <v>6.8</v>
      </c>
      <c r="V235" s="154" t="s">
        <v>155</v>
      </c>
      <c r="W235" s="152">
        <f t="shared" ca="1" si="89"/>
        <v>8.66</v>
      </c>
      <c r="X235" s="155">
        <f t="shared" ca="1" si="90"/>
        <v>34.64</v>
      </c>
      <c r="Y235" s="156" t="s">
        <v>244</v>
      </c>
      <c r="Z235" t="str">
        <f t="shared" ca="1" si="91"/>
        <v>RA</v>
      </c>
      <c r="AA235" s="157">
        <f ca="1">IF($C235="S",IF($Z235="CP",$X235,IF($Z235="RA",(($X235)*QCI!$AA$3),0)),SomaAgrup)</f>
        <v>34.64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str">
        <f t="shared" ca="1" si="94"/>
        <v>SINAPI 89440</v>
      </c>
      <c r="AF235" s="160">
        <f t="shared" ca="1" si="95"/>
        <v>3357</v>
      </c>
      <c r="AG235" s="550">
        <f t="shared" ca="1" si="96"/>
        <v>6.8</v>
      </c>
      <c r="AH235" s="551">
        <f t="shared" ca="1" si="97"/>
        <v>0.27350000000000002</v>
      </c>
      <c r="AJ235" s="553">
        <v>4</v>
      </c>
      <c r="AL235" s="574"/>
      <c r="AM235" s="431">
        <f t="shared" ca="1" si="98"/>
        <v>34.64</v>
      </c>
      <c r="AN235" s="617">
        <f t="shared" ca="1" si="99"/>
        <v>8.66</v>
      </c>
    </row>
    <row r="236" spans="1:40" ht="38.25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4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13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>F</v>
      </c>
      <c r="M236" s="145" t="s">
        <v>198</v>
      </c>
      <c r="N236" s="146" t="str">
        <f t="shared" ca="1" si="85"/>
        <v>Serviço</v>
      </c>
      <c r="O236" s="147" t="str">
        <f t="shared" ca="1" si="86"/>
        <v>4.1.13.</v>
      </c>
      <c r="P236" s="148" t="s">
        <v>246</v>
      </c>
      <c r="Q236" s="149" t="s">
        <v>499</v>
      </c>
      <c r="R236" s="150" t="str">
        <f t="shared" ca="1" si="87"/>
        <v>JOELHO 90 GRAUS, PVC, SERIE NORMAL, ESGOTO PREDIAL, DN 100 MM, JUNTA ELÁSTICA, FORNECIDO E INSTALADO EM RAMAL DE DESCARGA OU RAMAL DE ESGOTO SANITÁRIO. AF_12/2014</v>
      </c>
      <c r="S236" s="151" t="str">
        <f t="shared" ca="1" si="88"/>
        <v>UN</v>
      </c>
      <c r="T236" s="152">
        <f ca="1">OFFSET(CÁLCULO!H$15,ROW($T236)-ROW(T$15),0)</f>
        <v>2</v>
      </c>
      <c r="U236" s="153">
        <v>18.23</v>
      </c>
      <c r="V236" s="154" t="s">
        <v>155</v>
      </c>
      <c r="W236" s="152">
        <f t="shared" ca="1" si="89"/>
        <v>23.22</v>
      </c>
      <c r="X236" s="155">
        <f t="shared" ca="1" si="90"/>
        <v>46.44</v>
      </c>
      <c r="Y236" s="156" t="s">
        <v>244</v>
      </c>
      <c r="Z236" t="str">
        <f t="shared" ca="1" si="91"/>
        <v>RA</v>
      </c>
      <c r="AA236" s="157">
        <f ca="1">IF($C236="S",IF($Z236="CP",$X236,IF($Z236="RA",(($X236)*QCI!$AA$3),0)),SomaAgrup)</f>
        <v>46.44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str">
        <f t="shared" ca="1" si="94"/>
        <v>SINAPI 89744</v>
      </c>
      <c r="AF236" s="160">
        <f t="shared" ca="1" si="95"/>
        <v>3581</v>
      </c>
      <c r="AG236" s="550">
        <f t="shared" ca="1" si="96"/>
        <v>18.23</v>
      </c>
      <c r="AH236" s="551">
        <f t="shared" ca="1" si="97"/>
        <v>0.27350000000000002</v>
      </c>
      <c r="AJ236" s="553">
        <v>2</v>
      </c>
      <c r="AL236" s="574"/>
      <c r="AM236" s="431">
        <f t="shared" ca="1" si="98"/>
        <v>46.44</v>
      </c>
      <c r="AN236" s="617">
        <f t="shared" ca="1" si="99"/>
        <v>23.22</v>
      </c>
    </row>
    <row r="237" spans="1:40" ht="38.25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4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14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>F</v>
      </c>
      <c r="M237" s="145" t="s">
        <v>198</v>
      </c>
      <c r="N237" s="146" t="str">
        <f t="shared" ca="1" si="85"/>
        <v>Serviço</v>
      </c>
      <c r="O237" s="147" t="str">
        <f t="shared" ca="1" si="86"/>
        <v>4.1.14.</v>
      </c>
      <c r="P237" s="148" t="s">
        <v>246</v>
      </c>
      <c r="Q237" s="149" t="s">
        <v>500</v>
      </c>
      <c r="R237" s="150" t="str">
        <f t="shared" ca="1" si="87"/>
        <v>JOELHO 90 GRAUS, PVC, SOLDÁVEL, DN 25MM, INSTALADO EM RAMAL OU SUB-RAMAL DE ÁGUA - FORNECIMENTO E INSTALAÇÃO. AF_12/2014</v>
      </c>
      <c r="S237" s="151" t="str">
        <f t="shared" ca="1" si="88"/>
        <v>UN</v>
      </c>
      <c r="T237" s="152">
        <f ca="1">OFFSET(CÁLCULO!H$15,ROW($T237)-ROW(T$15),0)</f>
        <v>4</v>
      </c>
      <c r="U237" s="153">
        <v>7.18</v>
      </c>
      <c r="V237" s="154" t="s">
        <v>155</v>
      </c>
      <c r="W237" s="152">
        <f t="shared" ca="1" si="89"/>
        <v>9.14</v>
      </c>
      <c r="X237" s="155">
        <f t="shared" ca="1" si="90"/>
        <v>36.56</v>
      </c>
      <c r="Y237" s="156" t="s">
        <v>244</v>
      </c>
      <c r="Z237" t="str">
        <f t="shared" ca="1" si="91"/>
        <v>RA</v>
      </c>
      <c r="AA237" s="157">
        <f ca="1">IF($C237="S",IF($Z237="CP",$X237,IF($Z237="RA",(($X237)*QCI!$AA$3),0)),SomaAgrup)</f>
        <v>36.56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str">
        <f t="shared" ca="1" si="94"/>
        <v>SINAPI 89362</v>
      </c>
      <c r="AF237" s="160">
        <f t="shared" ca="1" si="95"/>
        <v>3282</v>
      </c>
      <c r="AG237" s="550">
        <f t="shared" ca="1" si="96"/>
        <v>7.18</v>
      </c>
      <c r="AH237" s="551">
        <f t="shared" ca="1" si="97"/>
        <v>0.27350000000000002</v>
      </c>
      <c r="AJ237" s="553">
        <v>4</v>
      </c>
      <c r="AL237" s="574"/>
      <c r="AM237" s="431">
        <f t="shared" ca="1" si="98"/>
        <v>36.56</v>
      </c>
      <c r="AN237" s="617">
        <f t="shared" ca="1" si="99"/>
        <v>9.14</v>
      </c>
    </row>
    <row r="238" spans="1:40" ht="25.5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4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15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>F</v>
      </c>
      <c r="M238" s="145" t="s">
        <v>198</v>
      </c>
      <c r="N238" s="146" t="str">
        <f t="shared" ca="1" si="85"/>
        <v>Serviço</v>
      </c>
      <c r="O238" s="147" t="str">
        <f t="shared" ca="1" si="86"/>
        <v>4.1.15.</v>
      </c>
      <c r="P238" s="148" t="s">
        <v>246</v>
      </c>
      <c r="Q238" s="149" t="s">
        <v>501</v>
      </c>
      <c r="R238" s="150" t="str">
        <f t="shared" ca="1" si="87"/>
        <v>TORNEIRA CROMADA DE MESA, 1/2 OU 3/4, PARA LAVATÓRIO, PADRÃO POPULAR - FORNECIMENTO E INSTALAÇÃO. AF_01/2020</v>
      </c>
      <c r="S238" s="151" t="str">
        <f t="shared" ca="1" si="88"/>
        <v>UN</v>
      </c>
      <c r="T238" s="152">
        <f ca="1">OFFSET(CÁLCULO!H$15,ROW($T238)-ROW(T$15),0)</f>
        <v>1</v>
      </c>
      <c r="U238" s="153">
        <v>44.18</v>
      </c>
      <c r="V238" s="154" t="s">
        <v>155</v>
      </c>
      <c r="W238" s="152">
        <f t="shared" ca="1" si="89"/>
        <v>56.26</v>
      </c>
      <c r="X238" s="155">
        <f t="shared" ca="1" si="90"/>
        <v>56.26</v>
      </c>
      <c r="Y238" s="156" t="s">
        <v>244</v>
      </c>
      <c r="Z238" t="str">
        <f t="shared" ca="1" si="91"/>
        <v>RA</v>
      </c>
      <c r="AA238" s="157">
        <f ca="1">IF($C238="S",IF($Z238="CP",$X238,IF($Z238="RA",(($X238)*QCI!$AA$3),0)),SomaAgrup)</f>
        <v>56.26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str">
        <f t="shared" ca="1" si="94"/>
        <v>SINAPI 86906</v>
      </c>
      <c r="AF238" s="160">
        <f t="shared" ca="1" si="95"/>
        <v>4429</v>
      </c>
      <c r="AG238" s="550">
        <f t="shared" ca="1" si="96"/>
        <v>44.18</v>
      </c>
      <c r="AH238" s="551">
        <f t="shared" ca="1" si="97"/>
        <v>0.27350000000000002</v>
      </c>
      <c r="AJ238" s="553">
        <v>1</v>
      </c>
      <c r="AL238" s="574"/>
      <c r="AM238" s="431">
        <f t="shared" ca="1" si="98"/>
        <v>56.26</v>
      </c>
      <c r="AN238" s="617">
        <f t="shared" ca="1" si="99"/>
        <v>56.26</v>
      </c>
    </row>
    <row r="239" spans="1:40" ht="25.5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4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16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>F</v>
      </c>
      <c r="M239" s="145" t="s">
        <v>198</v>
      </c>
      <c r="N239" s="146" t="str">
        <f t="shared" ca="1" si="85"/>
        <v>Serviço</v>
      </c>
      <c r="O239" s="147" t="str">
        <f t="shared" ca="1" si="86"/>
        <v>4.1.16.</v>
      </c>
      <c r="P239" s="148" t="s">
        <v>246</v>
      </c>
      <c r="Q239" s="149" t="s">
        <v>502</v>
      </c>
      <c r="R239" s="150" t="str">
        <f t="shared" ca="1" si="87"/>
        <v>REGISTRO DE GAVETA BRUTO, LATÃO, ROSCÁVEL, 3/4", FORNECIDO E INSTALADO EM RAMAL DE ÁGUA. AF_12/2014</v>
      </c>
      <c r="S239" s="151" t="str">
        <f t="shared" ca="1" si="88"/>
        <v>UN</v>
      </c>
      <c r="T239" s="152">
        <f ca="1">OFFSET(CÁLCULO!H$15,ROW($T239)-ROW(T$15),0)</f>
        <v>1</v>
      </c>
      <c r="U239" s="153">
        <v>31.69</v>
      </c>
      <c r="V239" s="154" t="s">
        <v>155</v>
      </c>
      <c r="W239" s="152">
        <f t="shared" ca="1" si="89"/>
        <v>40.36</v>
      </c>
      <c r="X239" s="155">
        <f t="shared" ca="1" si="90"/>
        <v>40.36</v>
      </c>
      <c r="Y239" s="156" t="s">
        <v>244</v>
      </c>
      <c r="Z239" t="str">
        <f t="shared" ca="1" si="91"/>
        <v>RA</v>
      </c>
      <c r="AA239" s="157">
        <f ca="1">IF($C239="S",IF($Z239="CP",$X239,IF($Z239="RA",(($X239)*QCI!$AA$3),0)),SomaAgrup)</f>
        <v>40.36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str">
        <f t="shared" ca="1" si="94"/>
        <v>SINAPI 89353</v>
      </c>
      <c r="AF239" s="160">
        <f t="shared" ca="1" si="95"/>
        <v>4551</v>
      </c>
      <c r="AG239" s="550">
        <f t="shared" ca="1" si="96"/>
        <v>31.69</v>
      </c>
      <c r="AH239" s="551">
        <f t="shared" ca="1" si="97"/>
        <v>0.27350000000000002</v>
      </c>
      <c r="AJ239" s="553">
        <v>1</v>
      </c>
      <c r="AL239" s="574"/>
      <c r="AM239" s="431">
        <f t="shared" ca="1" si="98"/>
        <v>40.36</v>
      </c>
      <c r="AN239" s="617">
        <f t="shared" ca="1" si="99"/>
        <v>40.36</v>
      </c>
    </row>
    <row r="240" spans="1:40" ht="38.25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4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17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>F</v>
      </c>
      <c r="M240" s="145" t="s">
        <v>198</v>
      </c>
      <c r="N240" s="146" t="str">
        <f t="shared" ca="1" si="85"/>
        <v>Serviço</v>
      </c>
      <c r="O240" s="147" t="str">
        <f t="shared" ca="1" si="86"/>
        <v>4.1.17.</v>
      </c>
      <c r="P240" s="148" t="s">
        <v>246</v>
      </c>
      <c r="Q240" s="149" t="s">
        <v>503</v>
      </c>
      <c r="R240" s="150" t="str">
        <f t="shared" ca="1" si="87"/>
        <v>RALO SIFONADO, PVC, DN 100 X 40 MM, JUNTA SOLDÁVEL, FORNECIDO E INSTALADO EM RAMAL DE DESCARGA OU EM RAMAL DE ESGOTO SANITÁRIO. AF_12/2014</v>
      </c>
      <c r="S240" s="151" t="str">
        <f t="shared" ca="1" si="88"/>
        <v>UN</v>
      </c>
      <c r="T240" s="152">
        <f ca="1">OFFSET(CÁLCULO!H$15,ROW($T240)-ROW(T$15),0)</f>
        <v>1</v>
      </c>
      <c r="U240" s="153">
        <v>9.8000000000000007</v>
      </c>
      <c r="V240" s="154" t="s">
        <v>155</v>
      </c>
      <c r="W240" s="152">
        <f t="shared" ca="1" si="89"/>
        <v>12.48</v>
      </c>
      <c r="X240" s="155">
        <f t="shared" ca="1" si="90"/>
        <v>12.48</v>
      </c>
      <c r="Y240" s="156" t="s">
        <v>244</v>
      </c>
      <c r="Z240" t="str">
        <f t="shared" ca="1" si="91"/>
        <v>RA</v>
      </c>
      <c r="AA240" s="157">
        <f ca="1">IF($C240="S",IF($Z240="CP",$X240,IF($Z240="RA",(($X240)*QCI!$AA$3),0)),SomaAgrup)</f>
        <v>12.48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str">
        <f t="shared" ca="1" si="94"/>
        <v>SINAPI 89709</v>
      </c>
      <c r="AF240" s="160">
        <f t="shared" ca="1" si="95"/>
        <v>4400</v>
      </c>
      <c r="AG240" s="550">
        <f t="shared" ca="1" si="96"/>
        <v>9.8000000000000007</v>
      </c>
      <c r="AH240" s="551">
        <f t="shared" ca="1" si="97"/>
        <v>0.27350000000000002</v>
      </c>
      <c r="AJ240" s="553">
        <v>1</v>
      </c>
      <c r="AL240" s="574"/>
      <c r="AM240" s="431">
        <f t="shared" ca="1" si="98"/>
        <v>12.48</v>
      </c>
      <c r="AN240" s="617">
        <f t="shared" ca="1" si="99"/>
        <v>12.48</v>
      </c>
    </row>
    <row r="241" spans="1:40" ht="25.5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4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18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>F</v>
      </c>
      <c r="M241" s="145" t="s">
        <v>198</v>
      </c>
      <c r="N241" s="146" t="str">
        <f t="shared" ca="1" si="85"/>
        <v>Serviço</v>
      </c>
      <c r="O241" s="147" t="str">
        <f t="shared" ca="1" si="86"/>
        <v>4.1.18.</v>
      </c>
      <c r="P241" s="148" t="s">
        <v>452</v>
      </c>
      <c r="Q241" s="149" t="s">
        <v>505</v>
      </c>
      <c r="R241" s="150" t="str">
        <f t="shared" ca="1" si="87"/>
        <v>SABONETEIRA PLASTICA TIPO DISPENSER PARA SABONETE LIQUIDO COM RESERVATORIO 800 A 1500 ML</v>
      </c>
      <c r="S241" s="151" t="str">
        <f t="shared" ca="1" si="88"/>
        <v xml:space="preserve">UN    </v>
      </c>
      <c r="T241" s="152">
        <f ca="1">OFFSET(CÁLCULO!H$15,ROW($T241)-ROW(T$15),0)</f>
        <v>1</v>
      </c>
      <c r="U241" s="153">
        <v>29.9</v>
      </c>
      <c r="V241" s="154" t="s">
        <v>155</v>
      </c>
      <c r="W241" s="152">
        <f t="shared" ca="1" si="89"/>
        <v>38.08</v>
      </c>
      <c r="X241" s="155">
        <f t="shared" ca="1" si="90"/>
        <v>38.08</v>
      </c>
      <c r="Y241" s="156" t="s">
        <v>244</v>
      </c>
      <c r="Z241" t="str">
        <f t="shared" ca="1" si="91"/>
        <v>RA</v>
      </c>
      <c r="AA241" s="157">
        <f ca="1">IF($C241="S",IF($Z241="CP",$X241,IF($Z241="RA",(($X241)*QCI!$AA$3),0)),SomaAgrup)</f>
        <v>38.08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str">
        <f t="shared" ca="1" si="94"/>
        <v>SINAPI-I 11758</v>
      </c>
      <c r="AF241" s="160">
        <f t="shared" ca="1" si="95"/>
        <v>10441</v>
      </c>
      <c r="AG241" s="550">
        <f t="shared" ca="1" si="96"/>
        <v>29.9</v>
      </c>
      <c r="AH241" s="551">
        <f t="shared" ca="1" si="97"/>
        <v>0.27350000000000002</v>
      </c>
      <c r="AJ241" s="553">
        <v>1</v>
      </c>
      <c r="AL241" s="574"/>
      <c r="AM241" s="431">
        <f t="shared" ca="1" si="98"/>
        <v>38.08</v>
      </c>
      <c r="AN241" s="617">
        <f t="shared" ca="1" si="99"/>
        <v>38.08</v>
      </c>
    </row>
    <row r="242" spans="1:40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4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19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>F</v>
      </c>
      <c r="M242" s="145" t="s">
        <v>198</v>
      </c>
      <c r="N242" s="146" t="str">
        <f t="shared" ca="1" si="85"/>
        <v>Serviço</v>
      </c>
      <c r="O242" s="147" t="str">
        <f t="shared" ca="1" si="86"/>
        <v>4.1.19.</v>
      </c>
      <c r="P242" s="148" t="s">
        <v>452</v>
      </c>
      <c r="Q242" s="149" t="s">
        <v>507</v>
      </c>
      <c r="R242" s="150" t="str">
        <f t="shared" ca="1" si="87"/>
        <v>LAVATORIO LOUCA BRANCA COM COLUNA *44 X 35,5* CM</v>
      </c>
      <c r="S242" s="151" t="str">
        <f t="shared" ca="1" si="88"/>
        <v xml:space="preserve">UN    </v>
      </c>
      <c r="T242" s="152">
        <f ca="1">OFFSET(CÁLCULO!H$15,ROW($T242)-ROW(T$15),0)</f>
        <v>1</v>
      </c>
      <c r="U242" s="153">
        <v>135.63</v>
      </c>
      <c r="V242" s="154" t="s">
        <v>155</v>
      </c>
      <c r="W242" s="152">
        <f t="shared" ca="1" si="89"/>
        <v>172.72</v>
      </c>
      <c r="X242" s="155">
        <f t="shared" ca="1" si="90"/>
        <v>172.72</v>
      </c>
      <c r="Y242" s="156" t="s">
        <v>244</v>
      </c>
      <c r="Z242" t="str">
        <f t="shared" ca="1" si="91"/>
        <v>RA</v>
      </c>
      <c r="AA242" s="157">
        <f ca="1">IF($C242="S",IF($Z242="CP",$X242,IF($Z242="RA",(($X242)*QCI!$AA$3),0)),SomaAgrup)</f>
        <v>172.72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str">
        <f t="shared" ca="1" si="94"/>
        <v>SINAPI-I 36794</v>
      </c>
      <c r="AF242" s="160">
        <f t="shared" ca="1" si="95"/>
        <v>9165</v>
      </c>
      <c r="AG242" s="550">
        <f t="shared" ca="1" si="96"/>
        <v>135.63</v>
      </c>
      <c r="AH242" s="551">
        <f t="shared" ca="1" si="97"/>
        <v>0.27350000000000002</v>
      </c>
      <c r="AJ242" s="553">
        <v>1</v>
      </c>
      <c r="AL242" s="574"/>
      <c r="AM242" s="431">
        <f t="shared" ca="1" si="98"/>
        <v>172.72</v>
      </c>
      <c r="AN242" s="617">
        <f t="shared" ca="1" si="99"/>
        <v>172.72</v>
      </c>
    </row>
    <row r="243" spans="1:40" ht="38.25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4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20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>F</v>
      </c>
      <c r="M243" s="145" t="s">
        <v>198</v>
      </c>
      <c r="N243" s="146" t="str">
        <f t="shared" ca="1" si="85"/>
        <v>Serviço</v>
      </c>
      <c r="O243" s="147" t="str">
        <f t="shared" ca="1" si="86"/>
        <v>4.1.20.</v>
      </c>
      <c r="P243" s="148" t="s">
        <v>452</v>
      </c>
      <c r="Q243" s="149" t="s">
        <v>531</v>
      </c>
      <c r="R243" s="150" t="str">
        <f t="shared" ca="1" si="87"/>
        <v>JANELA BASCULANTE EM ALUMINIO, 80 X 60 CM (A X L), ACABAMENTO ACET OU BRILHANTE, BATENTE/REQUADRO DE 3 A 14 CM, COM VIDRO, SEM GUARNICAO/ALIZAR</v>
      </c>
      <c r="S243" s="151" t="str">
        <f t="shared" ca="1" si="88"/>
        <v xml:space="preserve">UN    </v>
      </c>
      <c r="T243" s="152">
        <f ca="1">OFFSET(CÁLCULO!H$15,ROW($T243)-ROW(T$15),0)</f>
        <v>1</v>
      </c>
      <c r="U243" s="153">
        <v>154.96</v>
      </c>
      <c r="V243" s="154" t="s">
        <v>155</v>
      </c>
      <c r="W243" s="152">
        <f t="shared" ca="1" si="89"/>
        <v>197.34</v>
      </c>
      <c r="X243" s="155">
        <f t="shared" ca="1" si="90"/>
        <v>197.34</v>
      </c>
      <c r="Y243" s="156" t="s">
        <v>244</v>
      </c>
      <c r="Z243" t="str">
        <f t="shared" ca="1" si="91"/>
        <v>RA</v>
      </c>
      <c r="AA243" s="157">
        <f ca="1">IF($C243="S",IF($Z243="CP",$X243,IF($Z243="RA",(($X243)*QCI!$AA$3),0)),SomaAgrup)</f>
        <v>197.34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str">
        <f t="shared" ca="1" si="94"/>
        <v>SINAPI-I 34377</v>
      </c>
      <c r="AF243" s="160">
        <f t="shared" ca="1" si="95"/>
        <v>8858</v>
      </c>
      <c r="AG243" s="550">
        <f t="shared" ca="1" si="96"/>
        <v>154.96</v>
      </c>
      <c r="AH243" s="551">
        <f t="shared" ca="1" si="97"/>
        <v>0.27350000000000002</v>
      </c>
      <c r="AJ243" s="553">
        <v>1</v>
      </c>
      <c r="AL243" s="574"/>
      <c r="AM243" s="431">
        <f t="shared" ca="1" si="98"/>
        <v>197.34</v>
      </c>
      <c r="AN243" s="617">
        <f t="shared" ca="1" si="99"/>
        <v>197.34</v>
      </c>
    </row>
    <row r="244" spans="1:40" ht="38.25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4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21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>F</v>
      </c>
      <c r="M244" s="145" t="s">
        <v>198</v>
      </c>
      <c r="N244" s="146" t="str">
        <f t="shared" ca="1" si="85"/>
        <v>Serviço</v>
      </c>
      <c r="O244" s="147" t="str">
        <f t="shared" ca="1" si="86"/>
        <v>4.1.21.</v>
      </c>
      <c r="P244" s="148" t="s">
        <v>452</v>
      </c>
      <c r="Q244" s="149" t="s">
        <v>532</v>
      </c>
      <c r="R244" s="150" t="str">
        <f t="shared" ca="1" si="87"/>
        <v>PORTA DE MADEIRA, FOLHA MEDIA (NBR 15930) DE 90 X 210 CM, E = 35 MM, NUCLEO SARRAFEADO, CAPA LISA EM HDF, ACABAMENTO EM LAMINADO NATURAL PARA VERNIZ</v>
      </c>
      <c r="S244" s="151" t="str">
        <f t="shared" ca="1" si="88"/>
        <v xml:space="preserve">UN    </v>
      </c>
      <c r="T244" s="152">
        <f ca="1">OFFSET(CÁLCULO!H$15,ROW($T244)-ROW(T$15),0)</f>
        <v>1</v>
      </c>
      <c r="U244" s="153">
        <v>193.92</v>
      </c>
      <c r="V244" s="154" t="s">
        <v>155</v>
      </c>
      <c r="W244" s="152">
        <f t="shared" ca="1" si="89"/>
        <v>246.96</v>
      </c>
      <c r="X244" s="155">
        <f t="shared" ca="1" si="90"/>
        <v>246.96</v>
      </c>
      <c r="Y244" s="156" t="s">
        <v>244</v>
      </c>
      <c r="Z244" t="str">
        <f t="shared" ca="1" si="91"/>
        <v>RA</v>
      </c>
      <c r="AA244" s="157">
        <f ca="1">IF($C244="S",IF($Z244="CP",$X244,IF($Z244="RA",(($X244)*QCI!$AA$3),0)),SomaAgrup)</f>
        <v>246.96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str">
        <f t="shared" ca="1" si="94"/>
        <v>SINAPI-I 4987</v>
      </c>
      <c r="AF244" s="160">
        <f t="shared" ca="1" si="95"/>
        <v>10146</v>
      </c>
      <c r="AG244" s="550">
        <f t="shared" ca="1" si="96"/>
        <v>193.92</v>
      </c>
      <c r="AH244" s="551">
        <f t="shared" ca="1" si="97"/>
        <v>0.27350000000000002</v>
      </c>
      <c r="AJ244" s="553">
        <v>1</v>
      </c>
      <c r="AL244" s="574"/>
      <c r="AM244" s="431">
        <f t="shared" ca="1" si="98"/>
        <v>246.96</v>
      </c>
      <c r="AN244" s="617">
        <f t="shared" ca="1" si="99"/>
        <v>246.96</v>
      </c>
    </row>
    <row r="245" spans="1:40" ht="38.25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4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22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>F</v>
      </c>
      <c r="M245" s="145" t="s">
        <v>198</v>
      </c>
      <c r="N245" s="146" t="str">
        <f t="shared" ca="1" si="85"/>
        <v>Serviço</v>
      </c>
      <c r="O245" s="147" t="str">
        <f t="shared" ca="1" si="86"/>
        <v>4.1.22.</v>
      </c>
      <c r="P245" s="148" t="s">
        <v>246</v>
      </c>
      <c r="Q245" s="149" t="s">
        <v>533</v>
      </c>
      <c r="R245" s="150" t="str">
        <f t="shared" ca="1" si="87"/>
        <v>BARRA DE APOIO RETA, EM ACO INOX POLIDO, COMPRIMENTO 70 CM,  FIXADA NA PAREDE - FORNECIMENTO E INSTALAÇÃO. AF_01/2020</v>
      </c>
      <c r="S245" s="151" t="str">
        <f t="shared" ca="1" si="88"/>
        <v>UN</v>
      </c>
      <c r="T245" s="152">
        <f ca="1">OFFSET(CÁLCULO!H$15,ROW($T245)-ROW(T$15),0)</f>
        <v>2</v>
      </c>
      <c r="U245" s="153">
        <v>250.23</v>
      </c>
      <c r="V245" s="154" t="s">
        <v>155</v>
      </c>
      <c r="W245" s="152">
        <f t="shared" ca="1" si="89"/>
        <v>318.67</v>
      </c>
      <c r="X245" s="155">
        <f t="shared" ca="1" si="90"/>
        <v>637.34</v>
      </c>
      <c r="Y245" s="156" t="s">
        <v>244</v>
      </c>
      <c r="Z245" t="str">
        <f t="shared" ca="1" si="91"/>
        <v>RA</v>
      </c>
      <c r="AA245" s="157">
        <f ca="1">IF($C245="S",IF($Z245="CP",$X245,IF($Z245="RA",(($X245)*QCI!$AA$3),0)),SomaAgrup)</f>
        <v>637.34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str">
        <f t="shared" ca="1" si="94"/>
        <v>SINAPI 100867</v>
      </c>
      <c r="AF245" s="160">
        <f t="shared" ca="1" si="95"/>
        <v>4493</v>
      </c>
      <c r="AG245" s="550">
        <f t="shared" ca="1" si="96"/>
        <v>250.23</v>
      </c>
      <c r="AH245" s="551">
        <f t="shared" ca="1" si="97"/>
        <v>0.27350000000000002</v>
      </c>
      <c r="AJ245" s="553">
        <v>2</v>
      </c>
      <c r="AL245" s="574"/>
      <c r="AM245" s="431">
        <f t="shared" ca="1" si="98"/>
        <v>637.34</v>
      </c>
      <c r="AN245" s="617">
        <f t="shared" ca="1" si="99"/>
        <v>318.67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4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22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0.27350000000000002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x14ac:dyDescent="0.2">
      <c r="A247">
        <f t="shared" si="75"/>
        <v>2</v>
      </c>
      <c r="B247">
        <f t="shared" ca="1" si="76"/>
        <v>2</v>
      </c>
      <c r="C247">
        <f t="shared" ca="1" si="77"/>
        <v>2</v>
      </c>
      <c r="D247">
        <f t="shared" ca="1" si="78"/>
        <v>19</v>
      </c>
      <c r="E247">
        <f ca="1">IF($C247=1,OFFSET(E247,-1,0)+MAX(1,COUNTIF(QCI!$A$13:$A$24,OFFSET(ORÇAMENTO!E247,-1,0))),OFFSET(E247,-1,0))</f>
        <v>4</v>
      </c>
      <c r="F247">
        <f t="shared" ca="1" si="79"/>
        <v>2</v>
      </c>
      <c r="G247">
        <f t="shared" ca="1" si="80"/>
        <v>0</v>
      </c>
      <c r="H247">
        <f t="shared" ca="1" si="81"/>
        <v>0</v>
      </c>
      <c r="I247">
        <f t="shared" ca="1" si="82"/>
        <v>0</v>
      </c>
      <c r="J247">
        <f t="shared" ca="1" si="83"/>
        <v>19</v>
      </c>
      <c r="K247" t="e">
        <f ca="1">IF(OR($C247="S",$C247=0),0,MATCH(OFFSET($D247,0,$C247)+IF($C247&lt;&gt;1,1,COUNTIF(QCI!$A$13:$A$24,ORÇAMENTO!E247)),OFFSET($D247,1,$C247,ROW($C$266)-ROW($C247)),0))</f>
        <v>#N/A</v>
      </c>
      <c r="L247" s="144" t="str">
        <f t="shared" ca="1" si="84"/>
        <v>F</v>
      </c>
      <c r="M247" s="145" t="s">
        <v>195</v>
      </c>
      <c r="N247" s="146" t="str">
        <f t="shared" ca="1" si="85"/>
        <v>Nível 2</v>
      </c>
      <c r="O247" s="147" t="str">
        <f t="shared" ca="1" si="86"/>
        <v>4.2.</v>
      </c>
      <c r="P247" s="148" t="s">
        <v>246</v>
      </c>
      <c r="Q247" s="149"/>
      <c r="R247" s="150" t="str">
        <f ca="1">IF($C247="S",REFERENCIA.Descricao,"(INSTALAÇÕES ELÉTRICAS)")</f>
        <v>(INSTALAÇÕES ELÉTRICAS)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228.94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228.94000000000003</v>
      </c>
      <c r="AB247" s="158">
        <f t="shared" ca="1" si="92"/>
        <v>0</v>
      </c>
      <c r="AC247" s="159" t="str">
        <f t="shared" ca="1" si="93"/>
        <v/>
      </c>
      <c r="AD247" s="105">
        <f ca="1">IF(C247&lt;=CRONO.NivelExibicao,MAX($AD$15:OFFSET(AD247,-1,0))+IF($C247&lt;&gt;1,1,MAX(1,COUNTIF(QCI!$A$13:$A$24,OFFSET($E247,-1,0)))),"")</f>
        <v>27</v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0.27350000000000002</v>
      </c>
      <c r="AJ247" s="553"/>
      <c r="AL247" s="574"/>
      <c r="AM247" s="431">
        <f t="shared" ca="1" si="98"/>
        <v>228.94</v>
      </c>
      <c r="AN247" s="617">
        <f t="shared" ca="1" si="99"/>
        <v>0</v>
      </c>
    </row>
    <row r="248" spans="1:40" ht="25.5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4</v>
      </c>
      <c r="F248">
        <f t="shared" ca="1" si="79"/>
        <v>2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>F</v>
      </c>
      <c r="M248" s="145" t="s">
        <v>198</v>
      </c>
      <c r="N248" s="146" t="str">
        <f t="shared" ca="1" si="85"/>
        <v>Serviço</v>
      </c>
      <c r="O248" s="147" t="str">
        <f t="shared" ca="1" si="86"/>
        <v>4.2.1.</v>
      </c>
      <c r="P248" s="148" t="s">
        <v>452</v>
      </c>
      <c r="Q248" s="149" t="s">
        <v>479</v>
      </c>
      <c r="R248" s="150" t="str">
        <f t="shared" ca="1" si="87"/>
        <v>FIO DE COBRE, SOLIDO, CLASSE 1, ISOLACAO EM PVC/A, ANTICHAMA BWF-B, 450/750V, SECAO NOMINAL 2,5 MM2</v>
      </c>
      <c r="S248" s="151" t="str">
        <f t="shared" ca="1" si="88"/>
        <v xml:space="preserve">M     </v>
      </c>
      <c r="T248" s="152">
        <f ca="1">OFFSET(CÁLCULO!H$15,ROW($T248)-ROW(T$15),0)</f>
        <v>19</v>
      </c>
      <c r="U248" s="153">
        <v>1.18</v>
      </c>
      <c r="V248" s="154" t="s">
        <v>155</v>
      </c>
      <c r="W248" s="152">
        <f t="shared" ca="1" si="89"/>
        <v>1.5</v>
      </c>
      <c r="X248" s="155">
        <f t="shared" ca="1" si="90"/>
        <v>28.5</v>
      </c>
      <c r="Y248" s="156" t="s">
        <v>244</v>
      </c>
      <c r="Z248" t="str">
        <f t="shared" ca="1" si="91"/>
        <v>RA</v>
      </c>
      <c r="AA248" s="157">
        <f ca="1">IF($C248="S",IF($Z248="CP",$X248,IF($Z248="RA",(($X248)*QCI!$AA$3),0)),SomaAgrup)</f>
        <v>28.5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str">
        <f t="shared" ca="1" si="94"/>
        <v>SINAPI-I 939</v>
      </c>
      <c r="AF248" s="160">
        <f t="shared" ca="1" si="95"/>
        <v>8597</v>
      </c>
      <c r="AG248" s="550">
        <f t="shared" ca="1" si="96"/>
        <v>1.18</v>
      </c>
      <c r="AH248" s="551">
        <f t="shared" ca="1" si="97"/>
        <v>0.27350000000000002</v>
      </c>
      <c r="AJ248" s="553">
        <v>19</v>
      </c>
      <c r="AL248" s="574"/>
      <c r="AM248" s="431">
        <f t="shared" ca="1" si="98"/>
        <v>28.5</v>
      </c>
      <c r="AN248" s="617">
        <f t="shared" ca="1" si="99"/>
        <v>1.5</v>
      </c>
    </row>
    <row r="249" spans="1:40" ht="25.5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4</v>
      </c>
      <c r="F249">
        <f t="shared" ca="1" si="79"/>
        <v>2</v>
      </c>
      <c r="G249">
        <f t="shared" ca="1" si="80"/>
        <v>0</v>
      </c>
      <c r="H249">
        <f t="shared" ca="1" si="81"/>
        <v>0</v>
      </c>
      <c r="I249">
        <f t="shared" ca="1" si="82"/>
        <v>2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>F</v>
      </c>
      <c r="M249" s="145" t="s">
        <v>198</v>
      </c>
      <c r="N249" s="146" t="str">
        <f t="shared" ca="1" si="85"/>
        <v>Serviço</v>
      </c>
      <c r="O249" s="147" t="str">
        <f t="shared" ca="1" si="86"/>
        <v>4.2.2.</v>
      </c>
      <c r="P249" s="148" t="s">
        <v>452</v>
      </c>
      <c r="Q249" s="149" t="s">
        <v>480</v>
      </c>
      <c r="R249" s="150" t="str">
        <f t="shared" ca="1" si="87"/>
        <v>FIO DE COBRE, SOLIDO, CLASSE 1, ISOLACAO EM PVC/A, ANTICHAMA BWF-B, 450/750V, SECAO NOMINAL 4 MM2</v>
      </c>
      <c r="S249" s="151" t="str">
        <f t="shared" ca="1" si="88"/>
        <v xml:space="preserve">M     </v>
      </c>
      <c r="T249" s="152">
        <f ca="1">OFFSET(CÁLCULO!H$15,ROW($T249)-ROW(T$15),0)</f>
        <v>17</v>
      </c>
      <c r="U249" s="153">
        <v>2.02</v>
      </c>
      <c r="V249" s="154" t="s">
        <v>155</v>
      </c>
      <c r="W249" s="152">
        <f t="shared" ca="1" si="89"/>
        <v>2.57</v>
      </c>
      <c r="X249" s="155">
        <f t="shared" ca="1" si="90"/>
        <v>43.69</v>
      </c>
      <c r="Y249" s="156" t="s">
        <v>244</v>
      </c>
      <c r="Z249" t="str">
        <f t="shared" ca="1" si="91"/>
        <v>RA</v>
      </c>
      <c r="AA249" s="157">
        <f ca="1">IF($C249="S",IF($Z249="CP",$X249,IF($Z249="RA",(($X249)*QCI!$AA$3),0)),SomaAgrup)</f>
        <v>43.69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str">
        <f t="shared" ca="1" si="94"/>
        <v>SINAPI-I 944</v>
      </c>
      <c r="AF249" s="160">
        <f t="shared" ca="1" si="95"/>
        <v>8598</v>
      </c>
      <c r="AG249" s="550">
        <f t="shared" ca="1" si="96"/>
        <v>2.02</v>
      </c>
      <c r="AH249" s="551">
        <f t="shared" ca="1" si="97"/>
        <v>0.27350000000000002</v>
      </c>
      <c r="AJ249" s="553">
        <v>17</v>
      </c>
      <c r="AL249" s="574"/>
      <c r="AM249" s="431">
        <f t="shared" ca="1" si="98"/>
        <v>43.69</v>
      </c>
      <c r="AN249" s="617">
        <f t="shared" ca="1" si="99"/>
        <v>2.57</v>
      </c>
    </row>
    <row r="250" spans="1:40" ht="38.25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4</v>
      </c>
      <c r="F250">
        <f t="shared" ca="1" si="79"/>
        <v>2</v>
      </c>
      <c r="G250">
        <f t="shared" ca="1" si="80"/>
        <v>0</v>
      </c>
      <c r="H250">
        <f t="shared" ca="1" si="81"/>
        <v>0</v>
      </c>
      <c r="I250">
        <f t="shared" ca="1" si="82"/>
        <v>3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>F</v>
      </c>
      <c r="M250" s="145" t="s">
        <v>198</v>
      </c>
      <c r="N250" s="146" t="str">
        <f t="shared" ca="1" si="85"/>
        <v>Serviço</v>
      </c>
      <c r="O250" s="147" t="str">
        <f t="shared" ca="1" si="86"/>
        <v>4.2.3.</v>
      </c>
      <c r="P250" s="148" t="s">
        <v>452</v>
      </c>
      <c r="Q250" s="149" t="s">
        <v>482</v>
      </c>
      <c r="R250" s="150" t="str">
        <f t="shared" ca="1" si="87"/>
        <v>INTERRUPTOR SIMPLES + INTERRUPTOR PARALELO 10A, 250V, CONJUNTO MONTADO PARA EMBUTIR 4" X 2" (PLACA + SUPORTE + MODULOS)</v>
      </c>
      <c r="S250" s="151" t="str">
        <f t="shared" ca="1" si="88"/>
        <v xml:space="preserve">UN    </v>
      </c>
      <c r="T250" s="152">
        <f ca="1">OFFSET(CÁLCULO!H$15,ROW($T250)-ROW(T$15),0)</f>
        <v>1</v>
      </c>
      <c r="U250" s="153">
        <v>15.33</v>
      </c>
      <c r="V250" s="154" t="s">
        <v>155</v>
      </c>
      <c r="W250" s="152">
        <f t="shared" ca="1" si="89"/>
        <v>19.52</v>
      </c>
      <c r="X250" s="155">
        <f t="shared" ca="1" si="90"/>
        <v>19.52</v>
      </c>
      <c r="Y250" s="156" t="s">
        <v>244</v>
      </c>
      <c r="Z250" t="str">
        <f t="shared" ca="1" si="91"/>
        <v>RA</v>
      </c>
      <c r="AA250" s="157">
        <f ca="1">IF($C250="S",IF($Z250="CP",$X250,IF($Z250="RA",(($X250)*QCI!$AA$3),0)),SomaAgrup)</f>
        <v>19.52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str">
        <f t="shared" ca="1" si="94"/>
        <v>SINAPI-I 38069</v>
      </c>
      <c r="AF250" s="160">
        <f t="shared" ca="1" si="95"/>
        <v>8835</v>
      </c>
      <c r="AG250" s="550">
        <f t="shared" ca="1" si="96"/>
        <v>15.33</v>
      </c>
      <c r="AH250" s="551">
        <f t="shared" ca="1" si="97"/>
        <v>0.27350000000000002</v>
      </c>
      <c r="AJ250" s="553">
        <v>1</v>
      </c>
      <c r="AL250" s="574"/>
      <c r="AM250" s="431">
        <f t="shared" ca="1" si="98"/>
        <v>19.52</v>
      </c>
      <c r="AN250" s="617">
        <f t="shared" ca="1" si="99"/>
        <v>19.52</v>
      </c>
    </row>
    <row r="251" spans="1:40" ht="25.5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4</v>
      </c>
      <c r="F251">
        <f t="shared" ca="1" si="79"/>
        <v>2</v>
      </c>
      <c r="G251">
        <f t="shared" ca="1" si="80"/>
        <v>0</v>
      </c>
      <c r="H251">
        <f t="shared" ca="1" si="81"/>
        <v>0</v>
      </c>
      <c r="I251">
        <f t="shared" ca="1" si="82"/>
        <v>4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>F</v>
      </c>
      <c r="M251" s="145" t="s">
        <v>198</v>
      </c>
      <c r="N251" s="146" t="str">
        <f t="shared" ca="1" si="85"/>
        <v>Serviço</v>
      </c>
      <c r="O251" s="147" t="str">
        <f t="shared" ca="1" si="86"/>
        <v>4.2.4.</v>
      </c>
      <c r="P251" s="148" t="s">
        <v>452</v>
      </c>
      <c r="Q251" s="149" t="s">
        <v>518</v>
      </c>
      <c r="R251" s="150" t="str">
        <f t="shared" ca="1" si="87"/>
        <v>TOMADA 2P+T 20A 250V, CONJUNTO MONTADO PARA EMBUTIR 4" X 2" (PLACA + SUPORTE + MODULO)</v>
      </c>
      <c r="S251" s="151" t="str">
        <f t="shared" ca="1" si="88"/>
        <v xml:space="preserve">UN    </v>
      </c>
      <c r="T251" s="152">
        <f ca="1">OFFSET(CÁLCULO!H$15,ROW($T251)-ROW(T$15),0)</f>
        <v>1</v>
      </c>
      <c r="U251" s="153">
        <v>15.59</v>
      </c>
      <c r="V251" s="154" t="s">
        <v>155</v>
      </c>
      <c r="W251" s="152">
        <f t="shared" ca="1" si="89"/>
        <v>19.850000000000001</v>
      </c>
      <c r="X251" s="155">
        <f t="shared" ca="1" si="90"/>
        <v>19.850000000000001</v>
      </c>
      <c r="Y251" s="156" t="s">
        <v>244</v>
      </c>
      <c r="Z251" t="str">
        <f t="shared" ca="1" si="91"/>
        <v>RA</v>
      </c>
      <c r="AA251" s="157">
        <f ca="1">IF($C251="S",IF($Z251="CP",$X251,IF($Z251="RA",(($X251)*QCI!$AA$3),0)),SomaAgrup)</f>
        <v>19.850000000000001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str">
        <f t="shared" ca="1" si="94"/>
        <v>SINAPI-I 38075</v>
      </c>
      <c r="AF251" s="160">
        <f t="shared" ca="1" si="95"/>
        <v>11018</v>
      </c>
      <c r="AG251" s="550">
        <f t="shared" ca="1" si="96"/>
        <v>15.59</v>
      </c>
      <c r="AH251" s="551">
        <f t="shared" ca="1" si="97"/>
        <v>0.27350000000000002</v>
      </c>
      <c r="AJ251" s="553">
        <v>1</v>
      </c>
      <c r="AL251" s="574"/>
      <c r="AM251" s="431">
        <f t="shared" ca="1" si="98"/>
        <v>19.850000000000001</v>
      </c>
      <c r="AN251" s="617">
        <f t="shared" ca="1" si="99"/>
        <v>19.850000000000001</v>
      </c>
    </row>
    <row r="252" spans="1:40" ht="25.5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4</v>
      </c>
      <c r="F252">
        <f t="shared" ca="1" si="79"/>
        <v>2</v>
      </c>
      <c r="G252">
        <f t="shared" ca="1" si="80"/>
        <v>0</v>
      </c>
      <c r="H252">
        <f t="shared" ca="1" si="81"/>
        <v>0</v>
      </c>
      <c r="I252">
        <f t="shared" ca="1" si="82"/>
        <v>5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>F</v>
      </c>
      <c r="M252" s="145" t="s">
        <v>198</v>
      </c>
      <c r="N252" s="146" t="str">
        <f t="shared" ca="1" si="85"/>
        <v>Serviço</v>
      </c>
      <c r="O252" s="147" t="str">
        <f t="shared" ca="1" si="86"/>
        <v>4.2.5.</v>
      </c>
      <c r="P252" s="148" t="s">
        <v>452</v>
      </c>
      <c r="Q252" s="149" t="s">
        <v>486</v>
      </c>
      <c r="R252" s="150" t="str">
        <f t="shared" ca="1" si="87"/>
        <v>SOQUETE DE PORCELANA BASE E27, FIXO DE TETO, PARA LAMPADAS</v>
      </c>
      <c r="S252" s="151" t="str">
        <f t="shared" ca="1" si="88"/>
        <v xml:space="preserve">UN    </v>
      </c>
      <c r="T252" s="152">
        <f ca="1">OFFSET(CÁLCULO!H$15,ROW($T252)-ROW(T$15),0)</f>
        <v>2</v>
      </c>
      <c r="U252" s="153">
        <v>3.17</v>
      </c>
      <c r="V252" s="154" t="s">
        <v>155</v>
      </c>
      <c r="W252" s="152">
        <f t="shared" ca="1" si="89"/>
        <v>4.04</v>
      </c>
      <c r="X252" s="155">
        <f t="shared" ca="1" si="90"/>
        <v>8.08</v>
      </c>
      <c r="Y252" s="156" t="s">
        <v>244</v>
      </c>
      <c r="Z252" t="str">
        <f t="shared" ca="1" si="91"/>
        <v>RA</v>
      </c>
      <c r="AA252" s="157">
        <f ca="1">IF($C252="S",IF($Z252="CP",$X252,IF($Z252="RA",(($X252)*QCI!$AA$3),0)),SomaAgrup)</f>
        <v>8.08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str">
        <f t="shared" ca="1" si="94"/>
        <v>SINAPI-I 12296</v>
      </c>
      <c r="AF252" s="160">
        <f t="shared" ca="1" si="95"/>
        <v>10522</v>
      </c>
      <c r="AG252" s="550">
        <f t="shared" ca="1" si="96"/>
        <v>3.17</v>
      </c>
      <c r="AH252" s="551">
        <f t="shared" ca="1" si="97"/>
        <v>0.27350000000000002</v>
      </c>
      <c r="AJ252" s="553">
        <v>2</v>
      </c>
      <c r="AL252" s="574"/>
      <c r="AM252" s="431">
        <f t="shared" ca="1" si="98"/>
        <v>8.08</v>
      </c>
      <c r="AN252" s="617">
        <f t="shared" ca="1" si="99"/>
        <v>4.04</v>
      </c>
    </row>
    <row r="253" spans="1:40" ht="25.5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4</v>
      </c>
      <c r="F253">
        <f t="shared" ca="1" si="79"/>
        <v>2</v>
      </c>
      <c r="G253">
        <f t="shared" ca="1" si="80"/>
        <v>0</v>
      </c>
      <c r="H253">
        <f t="shared" ca="1" si="81"/>
        <v>0</v>
      </c>
      <c r="I253">
        <f t="shared" ca="1" si="82"/>
        <v>6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>F</v>
      </c>
      <c r="M253" s="145" t="s">
        <v>198</v>
      </c>
      <c r="N253" s="146" t="str">
        <f t="shared" ca="1" si="85"/>
        <v>Serviço</v>
      </c>
      <c r="O253" s="147" t="str">
        <f t="shared" ca="1" si="86"/>
        <v>4.2.6.</v>
      </c>
      <c r="P253" s="148" t="s">
        <v>452</v>
      </c>
      <c r="Q253" s="149" t="s">
        <v>487</v>
      </c>
      <c r="R253" s="150" t="str">
        <f t="shared" ca="1" si="87"/>
        <v>LAMPADA FLUORESCENTE ESPIRAL BRANCA 45 W, BASE E27 (127/220 V)</v>
      </c>
      <c r="S253" s="151" t="str">
        <f t="shared" ca="1" si="88"/>
        <v xml:space="preserve">UN    </v>
      </c>
      <c r="T253" s="152">
        <f ca="1">OFFSET(CÁLCULO!H$15,ROW($T253)-ROW(T$15),0)</f>
        <v>1</v>
      </c>
      <c r="U253" s="153">
        <v>49.06</v>
      </c>
      <c r="V253" s="154" t="s">
        <v>155</v>
      </c>
      <c r="W253" s="152">
        <f t="shared" ca="1" si="89"/>
        <v>62.48</v>
      </c>
      <c r="X253" s="155">
        <f t="shared" ca="1" si="90"/>
        <v>62.48</v>
      </c>
      <c r="Y253" s="156" t="s">
        <v>244</v>
      </c>
      <c r="Z253" t="str">
        <f t="shared" ca="1" si="91"/>
        <v>RA</v>
      </c>
      <c r="AA253" s="157">
        <f ca="1">IF($C253="S",IF($Z253="CP",$X253,IF($Z253="RA",(($X253)*QCI!$AA$3),0)),SomaAgrup)</f>
        <v>62.48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str">
        <f t="shared" ca="1" si="94"/>
        <v>SINAPI-I 38781</v>
      </c>
      <c r="AF253" s="160">
        <f t="shared" ca="1" si="95"/>
        <v>9144</v>
      </c>
      <c r="AG253" s="550">
        <f t="shared" ca="1" si="96"/>
        <v>49.06</v>
      </c>
      <c r="AH253" s="551">
        <f t="shared" ca="1" si="97"/>
        <v>0.27350000000000002</v>
      </c>
      <c r="AJ253" s="553">
        <v>1</v>
      </c>
      <c r="AL253" s="574"/>
      <c r="AM253" s="431">
        <f t="shared" ca="1" si="98"/>
        <v>62.48</v>
      </c>
      <c r="AN253" s="617">
        <f t="shared" ca="1" si="99"/>
        <v>62.48</v>
      </c>
    </row>
    <row r="254" spans="1:40" ht="38.25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4</v>
      </c>
      <c r="F254">
        <f t="shared" ca="1" si="79"/>
        <v>2</v>
      </c>
      <c r="G254">
        <f t="shared" ca="1" si="80"/>
        <v>0</v>
      </c>
      <c r="H254">
        <f t="shared" ca="1" si="81"/>
        <v>0</v>
      </c>
      <c r="I254">
        <f t="shared" ca="1" si="82"/>
        <v>7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>F</v>
      </c>
      <c r="M254" s="145" t="s">
        <v>198</v>
      </c>
      <c r="N254" s="146" t="str">
        <f t="shared" ca="1" si="85"/>
        <v>Serviço</v>
      </c>
      <c r="O254" s="147" t="str">
        <f t="shared" ca="1" si="86"/>
        <v>4.2.7.</v>
      </c>
      <c r="P254" s="148" t="s">
        <v>246</v>
      </c>
      <c r="Q254" s="149" t="s">
        <v>488</v>
      </c>
      <c r="R254" s="150" t="str">
        <f t="shared" ca="1" si="87"/>
        <v>ELETRODUTO RÍGIDO ROSCÁVEL, PVC, DN 25 MM (3/4"), PARA CIRCUITOS TERMINAIS, INSTALADO EM FORRO - FORNECIMENTO E INSTALAÇÃO. AF_12/2015</v>
      </c>
      <c r="S254" s="151" t="str">
        <f t="shared" ca="1" si="88"/>
        <v>M</v>
      </c>
      <c r="T254" s="152">
        <f ca="1">OFFSET(CÁLCULO!H$15,ROW($T254)-ROW(T$15),0)</f>
        <v>2</v>
      </c>
      <c r="U254" s="153">
        <v>8.58</v>
      </c>
      <c r="V254" s="154" t="s">
        <v>155</v>
      </c>
      <c r="W254" s="152">
        <f t="shared" ca="1" si="89"/>
        <v>10.93</v>
      </c>
      <c r="X254" s="155">
        <f t="shared" ca="1" si="90"/>
        <v>21.86</v>
      </c>
      <c r="Y254" s="156" t="s">
        <v>244</v>
      </c>
      <c r="Z254" t="str">
        <f t="shared" ca="1" si="91"/>
        <v>RA</v>
      </c>
      <c r="AA254" s="157">
        <f ca="1">IF($C254="S",IF($Z254="CP",$X254,IF($Z254="RA",(($X254)*QCI!$AA$3),0)),SomaAgrup)</f>
        <v>21.86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str">
        <f t="shared" ca="1" si="94"/>
        <v>SINAPI 91863</v>
      </c>
      <c r="AF254" s="160">
        <f t="shared" ca="1" si="95"/>
        <v>2471</v>
      </c>
      <c r="AG254" s="550">
        <f t="shared" ca="1" si="96"/>
        <v>8.58</v>
      </c>
      <c r="AH254" s="551">
        <f t="shared" ca="1" si="97"/>
        <v>0.27350000000000002</v>
      </c>
      <c r="AJ254" s="553">
        <v>2</v>
      </c>
      <c r="AL254" s="574"/>
      <c r="AM254" s="431">
        <f t="shared" ca="1" si="98"/>
        <v>21.86</v>
      </c>
      <c r="AN254" s="617">
        <f t="shared" ca="1" si="99"/>
        <v>10.93</v>
      </c>
    </row>
    <row r="255" spans="1:40" ht="25.5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4</v>
      </c>
      <c r="F255">
        <f t="shared" ca="1" si="79"/>
        <v>2</v>
      </c>
      <c r="G255">
        <f t="shared" ca="1" si="80"/>
        <v>0</v>
      </c>
      <c r="H255">
        <f t="shared" ca="1" si="81"/>
        <v>0</v>
      </c>
      <c r="I255">
        <f t="shared" ca="1" si="82"/>
        <v>8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>F</v>
      </c>
      <c r="M255" s="145" t="s">
        <v>198</v>
      </c>
      <c r="N255" s="146" t="str">
        <f t="shared" ca="1" si="85"/>
        <v>Serviço</v>
      </c>
      <c r="O255" s="147" t="str">
        <f t="shared" ca="1" si="86"/>
        <v>4.2.8.</v>
      </c>
      <c r="P255" s="148" t="s">
        <v>246</v>
      </c>
      <c r="Q255" s="149" t="s">
        <v>489</v>
      </c>
      <c r="R255" s="150" t="str">
        <f t="shared" ca="1" si="87"/>
        <v>RASGO EM ALVENARIA PARA ELETRODUTOS COM DIAMETROS MENORES OU IGUAIS A 40 MM. AF_05/2015</v>
      </c>
      <c r="S255" s="151" t="str">
        <f t="shared" ca="1" si="88"/>
        <v>M</v>
      </c>
      <c r="T255" s="152">
        <f ca="1">OFFSET(CÁLCULO!H$15,ROW($T255)-ROW(T$15),0)</f>
        <v>2</v>
      </c>
      <c r="U255" s="153">
        <v>5.44</v>
      </c>
      <c r="V255" s="154" t="s">
        <v>155</v>
      </c>
      <c r="W255" s="152">
        <f t="shared" ca="1" si="89"/>
        <v>6.93</v>
      </c>
      <c r="X255" s="155">
        <f t="shared" ca="1" si="90"/>
        <v>13.86</v>
      </c>
      <c r="Y255" s="156" t="s">
        <v>244</v>
      </c>
      <c r="Z255" t="str">
        <f t="shared" ca="1" si="91"/>
        <v>RA</v>
      </c>
      <c r="AA255" s="157">
        <f ca="1">IF($C255="S",IF($Z255="CP",$X255,IF($Z255="RA",(($X255)*QCI!$AA$3),0)),SomaAgrup)</f>
        <v>13.86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str">
        <f t="shared" ca="1" si="94"/>
        <v>SINAPI 90447</v>
      </c>
      <c r="AF255" s="160">
        <f t="shared" ca="1" si="95"/>
        <v>4637</v>
      </c>
      <c r="AG255" s="550">
        <f t="shared" ca="1" si="96"/>
        <v>5.44</v>
      </c>
      <c r="AH255" s="551">
        <f t="shared" ca="1" si="97"/>
        <v>0.27350000000000002</v>
      </c>
      <c r="AJ255" s="553">
        <v>2</v>
      </c>
      <c r="AL255" s="574"/>
      <c r="AM255" s="431">
        <f t="shared" ca="1" si="98"/>
        <v>13.86</v>
      </c>
      <c r="AN255" s="617">
        <f t="shared" ca="1" si="99"/>
        <v>6.93</v>
      </c>
    </row>
    <row r="256" spans="1:40" ht="25.5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4</v>
      </c>
      <c r="F256">
        <f t="shared" ca="1" si="79"/>
        <v>2</v>
      </c>
      <c r="G256">
        <f t="shared" ca="1" si="80"/>
        <v>0</v>
      </c>
      <c r="H256">
        <f t="shared" ca="1" si="81"/>
        <v>0</v>
      </c>
      <c r="I256">
        <f t="shared" ca="1" si="82"/>
        <v>9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>F</v>
      </c>
      <c r="M256" s="145" t="s">
        <v>198</v>
      </c>
      <c r="N256" s="146" t="str">
        <f t="shared" ca="1" si="85"/>
        <v>Serviço</v>
      </c>
      <c r="O256" s="147" t="str">
        <f t="shared" ca="1" si="86"/>
        <v>4.2.9.</v>
      </c>
      <c r="P256" s="148" t="s">
        <v>452</v>
      </c>
      <c r="Q256" s="149" t="s">
        <v>490</v>
      </c>
      <c r="R256" s="150" t="str">
        <f t="shared" ca="1" si="87"/>
        <v>ELETRODUTO PVC FLEXIVEL CORRUGADO, COR AMARELA, DE 20 MM</v>
      </c>
      <c r="S256" s="151" t="str">
        <f t="shared" ca="1" si="88"/>
        <v xml:space="preserve">M     </v>
      </c>
      <c r="T256" s="152">
        <f ca="1">OFFSET(CÁLCULO!H$15,ROW($T256)-ROW(T$15),0)</f>
        <v>6</v>
      </c>
      <c r="U256" s="153">
        <v>1.45</v>
      </c>
      <c r="V256" s="154" t="s">
        <v>155</v>
      </c>
      <c r="W256" s="152">
        <f t="shared" ca="1" si="89"/>
        <v>1.85</v>
      </c>
      <c r="X256" s="155">
        <f t="shared" ca="1" si="90"/>
        <v>11.1</v>
      </c>
      <c r="Y256" s="156" t="s">
        <v>244</v>
      </c>
      <c r="Z256" t="str">
        <f t="shared" ca="1" si="91"/>
        <v>RA</v>
      </c>
      <c r="AA256" s="157">
        <f ca="1">IF($C256="S",IF($Z256="CP",$X256,IF($Z256="RA",(($X256)*QCI!$AA$3),0)),SomaAgrup)</f>
        <v>11.1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str">
        <f t="shared" ca="1" si="94"/>
        <v>SINAPI-I 2689</v>
      </c>
      <c r="AF256" s="160">
        <f t="shared" ca="1" si="95"/>
        <v>8346</v>
      </c>
      <c r="AG256" s="550">
        <f t="shared" ca="1" si="96"/>
        <v>1.45</v>
      </c>
      <c r="AH256" s="551">
        <f t="shared" ca="1" si="97"/>
        <v>0.27350000000000002</v>
      </c>
      <c r="AJ256" s="553">
        <v>6</v>
      </c>
      <c r="AL256" s="574"/>
      <c r="AM256" s="431">
        <f t="shared" ca="1" si="98"/>
        <v>11.1</v>
      </c>
      <c r="AN256" s="617">
        <f t="shared" ca="1" si="99"/>
        <v>1.85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4</v>
      </c>
      <c r="F257">
        <f t="shared" ca="1" si="79"/>
        <v>2</v>
      </c>
      <c r="G257">
        <f t="shared" ca="1" si="80"/>
        <v>0</v>
      </c>
      <c r="H257">
        <f t="shared" ca="1" si="81"/>
        <v>0</v>
      </c>
      <c r="I257">
        <f t="shared" ca="1" si="82"/>
        <v>9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0.27350000000000002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4</v>
      </c>
      <c r="F258">
        <f t="shared" ca="1" si="79"/>
        <v>2</v>
      </c>
      <c r="G258">
        <f t="shared" ca="1" si="80"/>
        <v>0</v>
      </c>
      <c r="H258">
        <f t="shared" ca="1" si="81"/>
        <v>0</v>
      </c>
      <c r="I258">
        <f t="shared" ca="1" si="82"/>
        <v>9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0.27350000000000002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4</v>
      </c>
      <c r="F259">
        <f t="shared" ca="1" si="79"/>
        <v>2</v>
      </c>
      <c r="G259">
        <f t="shared" ca="1" si="80"/>
        <v>0</v>
      </c>
      <c r="H259">
        <f t="shared" ca="1" si="81"/>
        <v>0</v>
      </c>
      <c r="I259">
        <f t="shared" ca="1" si="82"/>
        <v>9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0.27350000000000002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4</v>
      </c>
      <c r="F260">
        <f t="shared" ca="1" si="79"/>
        <v>2</v>
      </c>
      <c r="G260">
        <f t="shared" ca="1" si="80"/>
        <v>0</v>
      </c>
      <c r="H260">
        <f t="shared" ca="1" si="81"/>
        <v>0</v>
      </c>
      <c r="I260">
        <f t="shared" ca="1" si="82"/>
        <v>9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0.27350000000000002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4</v>
      </c>
      <c r="F261">
        <f t="shared" ca="1" si="79"/>
        <v>2</v>
      </c>
      <c r="G261">
        <f t="shared" ca="1" si="80"/>
        <v>0</v>
      </c>
      <c r="H261">
        <f t="shared" ca="1" si="81"/>
        <v>0</v>
      </c>
      <c r="I261">
        <f t="shared" ca="1" si="82"/>
        <v>9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0.27350000000000002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4</v>
      </c>
      <c r="F262">
        <f t="shared" ca="1" si="79"/>
        <v>2</v>
      </c>
      <c r="G262">
        <f t="shared" ca="1" si="80"/>
        <v>0</v>
      </c>
      <c r="H262">
        <f t="shared" ca="1" si="81"/>
        <v>0</v>
      </c>
      <c r="I262">
        <f t="shared" ca="1" si="82"/>
        <v>9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0.27350000000000002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4</v>
      </c>
      <c r="F263">
        <f t="shared" ca="1" si="79"/>
        <v>2</v>
      </c>
      <c r="G263">
        <f t="shared" ca="1" si="80"/>
        <v>0</v>
      </c>
      <c r="H263">
        <f t="shared" ca="1" si="81"/>
        <v>0</v>
      </c>
      <c r="I263">
        <f t="shared" ca="1" si="82"/>
        <v>9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0.27350000000000002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4</v>
      </c>
      <c r="F264">
        <f t="shared" ca="1" si="79"/>
        <v>2</v>
      </c>
      <c r="G264">
        <f t="shared" ca="1" si="80"/>
        <v>0</v>
      </c>
      <c r="H264">
        <f t="shared" ca="1" si="81"/>
        <v>0</v>
      </c>
      <c r="I264">
        <f t="shared" ca="1" si="82"/>
        <v>9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0.27350000000000002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4</v>
      </c>
      <c r="F265">
        <f t="shared" ca="1" si="79"/>
        <v>2</v>
      </c>
      <c r="G265">
        <f t="shared" ca="1" si="80"/>
        <v>0</v>
      </c>
      <c r="H265">
        <f t="shared" ca="1" si="81"/>
        <v>0</v>
      </c>
      <c r="I265">
        <f t="shared" ca="1" si="82"/>
        <v>9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0.27350000000000002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3" t="s">
        <v>248</v>
      </c>
      <c r="R269" s="703"/>
      <c r="S269" s="703"/>
      <c r="T269" s="703"/>
      <c r="U269" s="703"/>
      <c r="V269" s="703"/>
      <c r="W269" s="703"/>
      <c r="X269" s="703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4"/>
      <c r="P272" s="704"/>
      <c r="Q272" s="704"/>
      <c r="R272" s="704"/>
      <c r="S272" s="704"/>
      <c r="T272" s="704"/>
      <c r="U272" s="704"/>
      <c r="V272" s="704"/>
      <c r="W272" s="704"/>
      <c r="X272" s="704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4"/>
      <c r="P273" s="704"/>
      <c r="Q273" s="704"/>
      <c r="R273" s="704"/>
      <c r="S273" s="704"/>
      <c r="T273" s="704"/>
      <c r="U273" s="704"/>
      <c r="V273" s="704"/>
      <c r="W273" s="704"/>
      <c r="X273" s="704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5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5"/>
      <c r="Q276" s="705"/>
      <c r="R276" s="705"/>
      <c r="S276" s="705"/>
      <c r="T276" s="705"/>
      <c r="U276" s="705"/>
      <c r="V276" s="705"/>
      <c r="W276" s="705"/>
      <c r="X276" s="705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7" t="s">
        <v>249</v>
      </c>
      <c r="P277" s="707"/>
      <c r="Q277" s="707"/>
      <c r="R277" s="707"/>
      <c r="S277" s="707"/>
      <c r="T277" s="707"/>
      <c r="U277" s="707"/>
      <c r="V277" s="707"/>
      <c r="W277" s="707"/>
      <c r="X277" s="707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6" t="str">
        <f>Import.Município</f>
        <v xml:space="preserve">CÉU AZUL </v>
      </c>
      <c r="P279" s="706"/>
      <c r="Q279" s="706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1">
        <f>DADOS!$F$25</f>
        <v>43975</v>
      </c>
      <c r="P282" s="701"/>
      <c r="Q282" s="701"/>
      <c r="R282" s="105"/>
      <c r="S282" s="95" t="s">
        <v>108</v>
      </c>
      <c r="T282" s="96" t="str">
        <v>27735/D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9" t="str">
        <f>IF(ACOMPANHAMENTO="BM","MEMÓRIA DE CÁLCULO","PLQ - PLANILHA DE LEVANTAMENTO DE QUANTIDADES")</f>
        <v>MEMÓRIA DE CÁLCULO</v>
      </c>
      <c r="G1" s="709"/>
      <c r="H1" s="709"/>
      <c r="I1" s="180"/>
      <c r="K1" s="180"/>
      <c r="L1" s="180"/>
      <c r="M1" s="181"/>
      <c r="N1" s="180"/>
      <c r="P1" s="180"/>
      <c r="Q1" s="688" t="s">
        <v>139</v>
      </c>
      <c r="R1" s="688"/>
      <c r="Y1" s="688" t="s">
        <v>139</v>
      </c>
      <c r="Z1" s="688"/>
    </row>
    <row r="2" spans="1:59" ht="15" customHeight="1" x14ac:dyDescent="0.2">
      <c r="F2" s="710" t="str">
        <f>IF(ACOMPANHAMENTO="BM","","Memória de Cálculo")&amp;" - "&amp;import.recurso</f>
        <v xml:space="preserve"> - (SELECIONAR)</v>
      </c>
      <c r="G2" s="710"/>
      <c r="H2" s="710"/>
      <c r="I2" s="182"/>
      <c r="K2" s="182"/>
      <c r="L2" s="182"/>
      <c r="M2" s="183"/>
      <c r="N2" s="182"/>
      <c r="P2" s="182"/>
      <c r="Q2" s="689" t="s">
        <v>142</v>
      </c>
      <c r="R2" s="689"/>
      <c r="Y2" s="689" t="s">
        <v>142</v>
      </c>
      <c r="Z2" s="689"/>
    </row>
    <row r="3" spans="1:59" ht="12.75" customHeight="1" x14ac:dyDescent="0.2"/>
    <row r="4" spans="1:59" ht="12.75" customHeight="1" x14ac:dyDescent="0.2">
      <c r="E4" s="684" t="s">
        <v>201</v>
      </c>
      <c r="F4" s="684"/>
      <c r="G4" s="684" t="s">
        <v>440</v>
      </c>
      <c r="H4" s="684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4" t="s">
        <v>145</v>
      </c>
      <c r="T4" s="684"/>
      <c r="U4" s="684" t="s">
        <v>146</v>
      </c>
      <c r="V4" s="684"/>
      <c r="W4" s="684"/>
      <c r="X4" s="684"/>
      <c r="Y4" s="684"/>
      <c r="Z4" s="684"/>
    </row>
    <row r="5" spans="1:59" ht="12.75" customHeight="1" x14ac:dyDescent="0.2">
      <c r="E5" s="687" t="str">
        <f>Import.Apelido</f>
        <v xml:space="preserve">REFORMA E AMPLIAÇÃO DA ESCOLA OLAVO BILAC </v>
      </c>
      <c r="F5" s="687"/>
      <c r="G5" s="687">
        <f>Import.SICONV</f>
        <v>0</v>
      </c>
      <c r="H5" s="687"/>
      <c r="I5" s="118">
        <f>Import.CR</f>
        <v>0</v>
      </c>
      <c r="K5" s="187" t="str">
        <f>Import.Proponente</f>
        <v xml:space="preserve">MUNICIPIO DE CÉU AZUL </v>
      </c>
      <c r="L5" s="188"/>
      <c r="M5" s="130"/>
      <c r="N5" s="188"/>
      <c r="O5" s="188"/>
      <c r="P5" s="188"/>
      <c r="Q5" s="188"/>
      <c r="R5" s="119"/>
      <c r="S5" s="687">
        <f>Import.CR</f>
        <v>0</v>
      </c>
      <c r="T5" s="687"/>
      <c r="U5" s="687" t="str">
        <f>Import.Proponente</f>
        <v xml:space="preserve">MUNICIPIO DE CÉU AZUL </v>
      </c>
      <c r="V5" s="687"/>
      <c r="W5" s="687"/>
      <c r="X5" s="687"/>
      <c r="Y5" s="687"/>
      <c r="Z5" s="687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8">
        <f>Import.DescLote</f>
        <v>0</v>
      </c>
      <c r="F15" s="708"/>
      <c r="G15" s="708"/>
      <c r="H15" s="708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(VESTIÁRIO LAVANDERIA / COZINHA)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(SERVIÇOS INICIAIS)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(PARA CONSTRUCAO CIVIL) EM CHAPA GALVANIZADA *N. 22*, ADESIVADA, DE *2,0 X 1,125* M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(SERVIÇOS INICIAIS)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LOCACAO CONVENCIONAL DE OBRA, UTILIZANDO GABARITO DE TÁBUAS CORRIDAS PONTALETADAS A CADA 2,00M -  2 UTILIZAÇÕES. AF_10/2018</v>
      </c>
      <c r="G19" s="208" t="str">
        <f ca="1">IF($D19&lt;&gt;"Serviço","",OFFSET(ORÇAMENTO!S$15,ROW(G19)-ROW(G$15),0))</f>
        <v>M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10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INICIAIS)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INICIAIS)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6.</v>
      </c>
      <c r="B21" s="9">
        <f ca="1">OFFSET(ORÇAMENTO!C$15,ROW(B21)-ROW(B$15),0)</f>
        <v>2</v>
      </c>
      <c r="C21" s="9" t="str">
        <f ca="1">OFFSET(ORÇAMENTO!L$15,ROW(C21)-ROW(C$15),0)</f>
        <v>F</v>
      </c>
      <c r="D21" s="146" t="str">
        <f ca="1">OFFSET(ORÇAMENTO!N$15,ROW(D21)-ROW(D$15),0)</f>
        <v>Nível 2</v>
      </c>
      <c r="E21" s="206" t="str">
        <f ca="1">OFFSET(ORÇAMENTO!O$15,ROW(E21)-ROW(E$15),0)</f>
        <v>1.2.</v>
      </c>
      <c r="F21" s="207" t="str">
        <f ca="1">OFFSET(ORÇAMENTO!R$15,ROW(F21)-ROW(F$15),0)</f>
        <v>(FUNDAÇÕES RASAS, VIGAS, PILARES, VIGAS BALDRAME)</v>
      </c>
      <c r="G21" s="208" t="str">
        <f ca="1">IF($D21&lt;&gt;"Serviço","",OFFSET(ORÇAMENTO!S$15,ROW(G21)-ROW(G$15),0))</f>
        <v/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 t="str">
        <f ca="1">IF($D21&lt;&gt;"Serviço","",IF(AUTOEVENTO="manual",$A21,IF(ISERROR(MATCH($A21,$A$15:OFFSET($A21,-1,0),0)),MAX($M$15:OFFSET(M21,-1,0))+1,INDEX($M$15:OFFSET(M21,-1,0),MATCH($A21,$A$15:OFFSET($A21,-1,0),0)))))</f>
        <v/>
      </c>
      <c r="N21" s="212" t="str">
        <f ca="1">IF($D21&lt;&gt;"Serviço","",IF(AUTOEVENTO="Manual",IF($A21=0,"&lt;-- defina o número do agrupador",OFFSET(EVENTOS!$D$14,$A21,0)),OFFSET($F$15,$A21,0)))</f>
        <v/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0</v>
      </c>
      <c r="AN21" s="216">
        <f ca="1">IF($D21&lt;&gt;"Serviço",0,IF(AND(AUTOEVENTO="Manual",$M21=1),0,IF(OFFSET(CRONOPLE!$F$14,$M21,AN$13)="",10^12,OFFSET(CRONOPLE!$F$14,$M21,AN$13))))</f>
        <v>0</v>
      </c>
      <c r="AO21" s="216">
        <f ca="1">IF($D21&lt;&gt;"Serviço",0,IF(AND(AUTOEVENTO="Manual",$M21=1),0,IF(OFFSET(CRONOPLE!$F$14,$M21,AO$13)="",10^12,OFFSET(CRONOPLE!$F$14,$M21,AO$13))))</f>
        <v>0</v>
      </c>
      <c r="AP21" s="216">
        <f ca="1">IF($D21&lt;&gt;"Serviço",0,IF(AND(AUTOEVENTO="Manual",$M21=1),0,IF(OFFSET(CRONOPLE!$F$14,$M21,AP$13)="",10^12,OFFSET(CRONOPLE!$F$14,$M21,AP$13))))</f>
        <v>0</v>
      </c>
      <c r="AQ21" s="216">
        <f ca="1">IF($D21&lt;&gt;"Serviço",0,IF(AND(AUTOEVENTO="Manual",$M21=1),0,IF(OFFSET(CRONOPLE!$F$14,$M21,AQ$13)="",10^12,OFFSET(CRONOPLE!$F$14,$M21,AQ$13))))</f>
        <v>0</v>
      </c>
      <c r="AR21" s="216">
        <f ca="1">IF($D21&lt;&gt;"Serviço",0,IF(AND(AUTOEVENTO="Manual",$M21=1),0,IF(OFFSET(CRONOPLE!$F$14,$M21,AR$13)="",10^12,OFFSET(CRONOPLE!$F$14,$M21,AR$13))))</f>
        <v>0</v>
      </c>
      <c r="AS21" s="216">
        <f ca="1">IF($D21&lt;&gt;"Serviço",0,IF(AND(AUTOEVENTO="Manual",$M21=1),0,IF(OFFSET(CRONOPLE!$F$14,$M21,AS$13)="",10^12,OFFSET(CRONOPLE!$F$14,$M21,AS$13))))</f>
        <v>0</v>
      </c>
      <c r="AT21" s="216">
        <f ca="1">IF($D21&lt;&gt;"Serviço",0,IF(AND(AUTOEVENTO="Manual",$M21=1),0,IF(OFFSET(CRONOPLE!$F$14,$M21,AT$13)="",10^12,OFFSET(CRONOPLE!$F$14,$M21,AT$13))))</f>
        <v>0</v>
      </c>
      <c r="AU21" s="216">
        <f ca="1">IF($D21&lt;&gt;"Serviço",0,IF(AND(AUTOEVENTO="Manual",$M21=1),0,IF(OFFSET(CRONOPLE!$F$14,$M21,AU$13)="",10^12,OFFSET(CRONOPLE!$F$14,$M21,AU$13))))</f>
        <v>0</v>
      </c>
      <c r="AV21" s="216">
        <f ca="1">IF($D21&lt;&gt;"Serviço",0,IF(AND(AUTOEVENTO="Manual",$M21=1),0,IF(OFFSET(CRONOPLE!$F$14,$M21,AV$13)="",10^12,OFFSET(CRONOPLE!$F$14,$M21,AV$13))))</f>
        <v>0</v>
      </c>
      <c r="AX21" s="217">
        <f ca="1">IF($D21&lt;&gt;"Serviço",0,IF(OR(AND(AUTOEVENTO="Manual",$M21=1),$M21&gt;(ROW(PLE.lastrow)-ROW(PLE.firstrow))),0,IF(OFFSET(PLE!$G$14,$M21,AX$13)="",10^12,OFFSET(PLE!$G$14,$M21,AX$13))))</f>
        <v>0</v>
      </c>
      <c r="AY21" s="217">
        <f ca="1">IF($D21&lt;&gt;"Serviço",0,IF(OR(AND(AUTOEVENTO="Manual",$M21=1),$M21&gt;(ROW(PLE.lastrow)-ROW(PLE.firstrow))),0,IF(OFFSET(PLE!$G$14,$M21,AY$13)="",10^12,OFFSET(PLE!$G$14,$M21,AY$13))))</f>
        <v>0</v>
      </c>
      <c r="AZ21" s="217">
        <f ca="1">IF($D21&lt;&gt;"Serviço",0,IF(OR(AND(AUTOEVENTO="Manual",$M21=1),$M21&gt;(ROW(PLE.lastrow)-ROW(PLE.firstrow))),0,IF(OFFSET(PLE!$G$14,$M21,AZ$13)="",10^12,OFFSET(PLE!$G$14,$M21,AZ$13))))</f>
        <v>0</v>
      </c>
      <c r="BA21" s="217">
        <f ca="1">IF($D21&lt;&gt;"Serviço",0,IF(OR(AND(AUTOEVENTO="Manual",$M21=1),$M21&gt;(ROW(PLE.lastrow)-ROW(PLE.firstrow))),0,IF(OFFSET(PLE!$G$14,$M21,BA$13)="",10^12,OFFSET(PLE!$G$14,$M21,BA$13))))</f>
        <v>0</v>
      </c>
      <c r="BB21" s="217">
        <f ca="1">IF($D21&lt;&gt;"Serviço",0,IF(OR(AND(AUTOEVENTO="Manual",$M21=1),$M21&gt;(ROW(PLE.lastrow)-ROW(PLE.firstrow))),0,IF(OFFSET(PLE!$G$14,$M21,BB$13)="",10^12,OFFSET(PLE!$G$14,$M21,BB$13))))</f>
        <v>0</v>
      </c>
      <c r="BC21" s="217">
        <f ca="1">IF($D21&lt;&gt;"Serviço",0,IF(OR(AND(AUTOEVENTO="Manual",$M21=1),$M21&gt;(ROW(PLE.lastrow)-ROW(PLE.firstrow))),0,IF(OFFSET(PLE!$G$14,$M21,BC$13)="",10^12,OFFSET(PLE!$G$14,$M21,BC$13))))</f>
        <v>0</v>
      </c>
      <c r="BD21" s="217">
        <f ca="1">IF($D21&lt;&gt;"Serviço",0,IF(OR(AND(AUTOEVENTO="Manual",$M21=1),$M21&gt;(ROW(PLE.lastrow)-ROW(PLE.firstrow))),0,IF(OFFSET(PLE!$G$14,$M21,BD$13)="",10^12,OFFSET(PLE!$G$14,$M21,BD$13))))</f>
        <v>0</v>
      </c>
      <c r="BE21" s="217">
        <f ca="1">IF($D21&lt;&gt;"Serviço",0,IF(OR(AND(AUTOEVENTO="Manual",$M21=1),$M21&gt;(ROW(PLE.lastrow)-ROW(PLE.firstrow))),0,IF(OFFSET(PLE!$G$14,$M21,BE$13)="",10^12,OFFSET(PLE!$G$14,$M21,BE$13))))</f>
        <v>0</v>
      </c>
      <c r="BF21" s="217">
        <f ca="1">IF($D21&lt;&gt;"Serviço",0,IF(OR(AND(AUTOEVENTO="Manual",$M21=1),$M21&gt;(ROW(PLE.lastrow)-ROW(PLE.firstrow))),0,IF(OFFSET(PLE!$G$14,$M21,BF$13)="",10^12,OFFSET(PLE!$G$14,$M21,BF$13))))</f>
        <v>0</v>
      </c>
      <c r="BG21" s="217">
        <f ca="1">IF($D21&lt;&gt;"Serviço",0,IF(OR(AND(AUTOEVENTO="Manual",$M21=1),$M21&gt;(ROW(PLE.lastrow)-ROW(PLE.firstrow))),0,IF(OFFSET(PLE!$G$14,$M21,BG$13)="",10^12,OFFSET(PLE!$G$14,$M21,BG$13))))</f>
        <v>0</v>
      </c>
    </row>
    <row r="22" spans="1:59" ht="25.5" x14ac:dyDescent="0.2">
      <c r="A22" s="9" t="str">
        <f t="shared" ca="1" si="8"/>
        <v>6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6" t="str">
        <f ca="1">OFFSET(ORÇAMENTO!N$15,ROW(D22)-ROW(D$15),0)</f>
        <v>Serviço</v>
      </c>
      <c r="E22" s="206" t="str">
        <f ca="1">OFFSET(ORÇAMENTO!O$15,ROW(E22)-ROW(E$15),0)</f>
        <v>1.2.1.</v>
      </c>
      <c r="F22" s="207" t="str">
        <f ca="1">OFFSET(ORÇAMENTO!R$15,ROW(F22)-ROW(F$15),0)</f>
        <v>ESCAVACAO MECANICA CAMPO ABERTO EM SOLO EXCETO ROCHA ATE 2,00M PROFUNDIDADE</v>
      </c>
      <c r="G22" s="208" t="str">
        <f ca="1">IF($D22&lt;&gt;"Serviço","",OFFSET(ORÇAMENTO!S$15,ROW(G22)-ROW(G$15),0))</f>
        <v>M3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80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3</v>
      </c>
      <c r="N22" s="212" t="str">
        <f ca="1">IF($D22&lt;&gt;"Serviço","",IF(AUTOEVENTO="Manual",IF($A22=0,"&lt;-- defina o número do agrupador",OFFSET(EVENTOS!$D$14,$A22,0)),OFFSET($F$15,$A22,0)))</f>
        <v>(FUNDAÇÕES RASAS, VIGAS, PILARES, VIGAS BALDRAME)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5.5" x14ac:dyDescent="0.2">
      <c r="A23" s="9" t="str">
        <f t="shared" ca="1" si="8"/>
        <v>6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1.2.2.</v>
      </c>
      <c r="F23" s="207" t="str">
        <f ca="1">OFFSET(ORÇAMENTO!R$15,ROW(F23)-ROW(F$15),0)</f>
        <v>CONCRETO FCK = 20MPA, TRAÇO 1:2,7:3 (CIMENTO/ AREIA MÉDIA/ BRITA 1)  - PREPARO MECÂNICO COM BETONEIRA 400 L. AF_07/2016</v>
      </c>
      <c r="G23" s="208" t="str">
        <f ca="1">IF($D23&lt;&gt;"Serviço","",OFFSET(ORÇAMENTO!S$15,ROW(G23)-ROW(G$15),0))</f>
        <v>M3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6.02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(FUNDAÇÕES RASAS, VIGAS, PILARES, VIGAS BALDRAME)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6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1.2.3.</v>
      </c>
      <c r="F24" s="207" t="str">
        <f ca="1">OFFSET(ORÇAMENTO!R$15,ROW(F24)-ROW(F$15),0)</f>
        <v>ARMAÇÃO DE PILAR OU VIGA DE UMA ESTRUTURA CONVENCIONAL DE CONCRETO ARMADO EM UM EDIFÍCIO DE MÚLTIPLOS PAVIMENTOS UTILIZANDO AÇO CA-50 DE 6,3 MM - MONTAGEM. AF_12/2015</v>
      </c>
      <c r="G24" s="208" t="str">
        <f ca="1">IF($D24&lt;&gt;"Serviço","",OFFSET(ORÇAMENTO!S$15,ROW(G24)-ROW(G$15),0))</f>
        <v>KG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236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(FUNDAÇÕES RASAS, VIGAS, PILARES, VIGAS BALDRAME)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6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1.2.4.</v>
      </c>
      <c r="F25" s="207" t="str">
        <f ca="1">OFFSET(ORÇAMENTO!R$15,ROW(F25)-ROW(F$15),0)</f>
        <v>ARMAÇÃO DE PILAR OU VIGA DE UMA ESTRUTURA CONVENCIONAL DE CONCRETO ARMADO EM UM EDIFÍCIO DE MÚLTIPLOS PAVIMENTOS UTILIZANDO AÇO CA-50 DE 10,0 MM - MONTAGEM. AF_12/2015</v>
      </c>
      <c r="G25" s="208" t="str">
        <f ca="1">IF($D25&lt;&gt;"Serviço","",OFFSET(ORÇAMENTO!S$15,ROW(G25)-ROW(G$15),0))</f>
        <v>KG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565.4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(FUNDAÇÕES RASAS, VIGAS, PILARES, VIGAS BALDRAME)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5.5" x14ac:dyDescent="0.2">
      <c r="A26" s="9" t="str">
        <f t="shared" ca="1" si="8"/>
        <v>6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1.2.5.</v>
      </c>
      <c r="F26" s="207" t="str">
        <f ca="1">OFFSET(ORÇAMENTO!R$15,ROW(F26)-ROW(F$15),0)</f>
        <v>ALVENARIA DE VEDAÇÃO DE BLOCOS CERÂMICOS FURADOS NA HORIZONTAL DE 9X14X19CM (ESPESSURA 9CM) DE PAREDES COM ÁREA LÍQUIDA MAIOR OU IGUAL A 6M² SEM VÃOS E ARGAMASSA DE ASSENTAMENTO COM PREPARO MANUAL. AF_06/2014</v>
      </c>
      <c r="G26" s="208" t="str">
        <f ca="1">IF($D26&lt;&gt;"Serviço","",OFFSET(ORÇAMENTO!S$15,ROW(G26)-ROW(G$15),0))</f>
        <v>M2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92.31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(FUNDAÇÕES RASAS, VIGAS, PILARES, VIGAS BALDRAME)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6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1.2.6.</v>
      </c>
      <c r="F27" s="207" t="str">
        <f ca="1">OFFSET(ORÇAMENTO!R$15,ROW(F27)-ROW(F$15),0)</f>
        <v>LASTRO COM MATERIAL GRANULAR, APLICAÇÃO EM PISOS OU RADIERS, ESPESSURA DE *5 CM*. AF_08/2017</v>
      </c>
      <c r="G27" s="208" t="str">
        <f ca="1">IF($D27&lt;&gt;"Serviço","",OFFSET(ORÇAMENTO!S$15,ROW(G27)-ROW(G$15),0))</f>
        <v>M3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4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(FUNDAÇÕES RASAS, VIGAS, PILARES, VIGAS BALDRAME)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25.5" x14ac:dyDescent="0.2">
      <c r="A28" s="9" t="str">
        <f t="shared" ca="1" si="8"/>
        <v>6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1.2.7.</v>
      </c>
      <c r="F28" s="207" t="str">
        <f ca="1">OFFSET(ORÇAMENTO!R$15,ROW(F28)-ROW(F$15),0)</f>
        <v>TABUA DE MADEIRA NAO APARELHADA *2,5 X 30* CM, CEDRINHO OU EQUIVALENTE DA REGIAO</v>
      </c>
      <c r="G28" s="208" t="str">
        <f ca="1">IF($D28&lt;&gt;"Serviço","",OFFSET(ORÇAMENTO!S$15,ROW(G28)-ROW(G$15),0))</f>
        <v xml:space="preserve">M     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84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(FUNDAÇÕES RASAS, VIGAS, PILARES, VIGAS BALDRAME)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25.5" x14ac:dyDescent="0.2">
      <c r="A29" s="9" t="str">
        <f t="shared" ca="1" si="8"/>
        <v>6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1.2.8.</v>
      </c>
      <c r="F29" s="207" t="str">
        <f ca="1">OFFSET(ORÇAMENTO!R$15,ROW(F29)-ROW(F$15),0)</f>
        <v>RUFO EXTERNO DE CHAPA DE ACO GALVANIZADA NUM 26, CORTE 28 CM</v>
      </c>
      <c r="G29" s="208" t="str">
        <f ca="1">IF($D29&lt;&gt;"Serviço","",OFFSET(ORÇAMENTO!S$15,ROW(G29)-ROW(G$15),0))</f>
        <v xml:space="preserve">M     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21.15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(FUNDAÇÕES RASAS, VIGAS, PILARES, VIGAS BALDRAME)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25.5" x14ac:dyDescent="0.2">
      <c r="A30" s="9" t="str">
        <f t="shared" ca="1" si="8"/>
        <v>6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1.2.9.</v>
      </c>
      <c r="F30" s="207" t="str">
        <f ca="1">OFFSET(ORÇAMENTO!R$15,ROW(F30)-ROW(F$15),0)</f>
        <v>CALHA EM CHAPA DE AÇO GALVANIZADO NÚMERO 24, DESENVOLVIMENTO DE 33 CM, INCLUSO TRANSPORTE VERTICAL. AF_07/2019</v>
      </c>
      <c r="G30" s="208" t="str">
        <f ca="1">IF($D30&lt;&gt;"Serviço","",OFFSET(ORÇAMENTO!S$15,ROW(G30)-ROW(G$15),0))</f>
        <v>M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10.78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(FUNDAÇÕES RASAS, VIGAS, PILARES, VIGAS BALDRAME)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5.5" x14ac:dyDescent="0.2">
      <c r="A31" s="9" t="str">
        <f t="shared" ca="1" si="8"/>
        <v>6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1.2.10.</v>
      </c>
      <c r="F31" s="207" t="str">
        <f ca="1">OFFSET(ORÇAMENTO!R$15,ROW(F31)-ROW(F$15),0)</f>
        <v>FABRICAÇÃO E INSTALAÇÃO DE TESOURA INTEIRA EM AÇO, VÃO DE 5 M, PARA TELHA CERÂMICA OU DE CONCRETO, INCLUSO IÇAMENTO. AF_12/2015</v>
      </c>
      <c r="G31" s="208" t="str">
        <f ca="1">IF($D31&lt;&gt;"Serviço","",OFFSET(ORÇAMENTO!S$15,ROW(G31)-ROW(G$15),0))</f>
        <v>UN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5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(FUNDAÇÕES RASAS, VIGAS, PILARES, VIGAS BALDRAME)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25.5" x14ac:dyDescent="0.2">
      <c r="A32" s="9" t="str">
        <f t="shared" ca="1" si="8"/>
        <v>6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6" t="str">
        <f ca="1">OFFSET(ORÇAMENTO!N$15,ROW(D32)-ROW(D$15),0)</f>
        <v>Serviço</v>
      </c>
      <c r="E32" s="206" t="str">
        <f ca="1">OFFSET(ORÇAMENTO!O$15,ROW(E32)-ROW(E$15),0)</f>
        <v>1.2.11.</v>
      </c>
      <c r="F32" s="207" t="str">
        <f ca="1">OFFSET(ORÇAMENTO!R$15,ROW(F32)-ROW(F$15),0)</f>
        <v>FORRO DE PVC LISO, BRANCO, REGUA DE 10 CM, ESPESSURA DE 8 MM A 10 MM (COM COLOCACAO / SEM ESTRUTURA METALICA)</v>
      </c>
      <c r="G32" s="208" t="str">
        <f ca="1">IF($D32&lt;&gt;"Serviço","",OFFSET(ORÇAMENTO!S$15,ROW(G32)-ROW(G$15),0))</f>
        <v xml:space="preserve">M2    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42.22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(FUNDAÇÕES RASAS, VIGAS, PILARES, VIGAS BALDRAME)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25.5" x14ac:dyDescent="0.2">
      <c r="A33" s="9" t="str">
        <f t="shared" ca="1" si="8"/>
        <v>6</v>
      </c>
      <c r="B33" s="9" t="str">
        <f ca="1">OFFSET(ORÇAMENTO!C$15,ROW(B33)-ROW(B$15),0)</f>
        <v>S</v>
      </c>
      <c r="C33" s="9" t="str">
        <f ca="1">OFFSET(ORÇAMENTO!L$15,ROW(C33)-ROW(C$15),0)</f>
        <v>F</v>
      </c>
      <c r="D33" s="146" t="str">
        <f ca="1">OFFSET(ORÇAMENTO!N$15,ROW(D33)-ROW(D$15),0)</f>
        <v>Serviço</v>
      </c>
      <c r="E33" s="206" t="str">
        <f ca="1">OFFSET(ORÇAMENTO!O$15,ROW(E33)-ROW(E$15),0)</f>
        <v>1.2.12.</v>
      </c>
      <c r="F33" s="207" t="str">
        <f ca="1">OFFSET(ORÇAMENTO!R$15,ROW(F33)-ROW(F$15),0)</f>
        <v>TELHAMENTO COM TELHA ONDULADA DE FIBROCIMENTO E = 6 MM, COM RECOBRIMENTO LATERAL DE 1 1/4 DE ONDA PARA TELHADO COM INCLINAÇÃO MÁXIMA DE 10°, COM ATÉ 2 ÁGUAS, INCLUSO IÇAMENTO. AF_07/2019</v>
      </c>
      <c r="G33" s="208" t="str">
        <f ca="1">IF($D33&lt;&gt;"Serviço","",OFFSET(ORÇAMENTO!S$15,ROW(G33)-ROW(G$15),0))</f>
        <v>M2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55.81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(FUNDAÇÕES RASAS, VIGAS, PILARES, VIGAS BALDRAME)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25.5" x14ac:dyDescent="0.2">
      <c r="A34" s="9" t="str">
        <f t="shared" ca="1" si="8"/>
        <v>6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 t="str">
        <f ca="1">IF($D34&lt;&gt;"Serviço","",IF(AUTOEVENTO="Manual",IF($A34=0,"&lt;-- defina o número do agrupador",OFFSET(EVENTOS!$D$14,$A34,0)),OFFSET($F$15,$A34,0)))</f>
        <v>(FUNDAÇÕES RASAS, VIGAS, PILARES, VIGAS BALDRAME)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25.5" x14ac:dyDescent="0.2">
      <c r="A35" s="9" t="str">
        <f t="shared" ca="1" si="8"/>
        <v>6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 t="str">
        <f ca="1">IF($D35&lt;&gt;"Serviço","",IF(AUTOEVENTO="Manual",IF($A35=0,"&lt;-- defina o número do agrupador",OFFSET(EVENTOS!$D$14,$A35,0)),OFFSET($F$15,$A35,0)))</f>
        <v>(FUNDAÇÕES RASAS, VIGAS, PILARES, VIGAS BALDRAME)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21.</v>
      </c>
      <c r="B36" s="9">
        <f ca="1">OFFSET(ORÇAMENTO!C$15,ROW(B36)-ROW(B$15),0)</f>
        <v>2</v>
      </c>
      <c r="C36" s="9" t="str">
        <f ca="1">OFFSET(ORÇAMENTO!L$15,ROW(C36)-ROW(C$15),0)</f>
        <v>F</v>
      </c>
      <c r="D36" s="146" t="str">
        <f ca="1">OFFSET(ORÇAMENTO!N$15,ROW(D36)-ROW(D$15),0)</f>
        <v>Nível 2</v>
      </c>
      <c r="E36" s="206" t="str">
        <f ca="1">OFFSET(ORÇAMENTO!O$15,ROW(E36)-ROW(E$15),0)</f>
        <v>1.3.</v>
      </c>
      <c r="F36" s="207" t="str">
        <f ca="1">OFFSET(ORÇAMENTO!R$15,ROW(F36)-ROW(F$15),0)</f>
        <v>(REVESTIMENTOS)</v>
      </c>
      <c r="G36" s="208" t="str">
        <f ca="1">IF($D36&lt;&gt;"Serviço","",OFFSET(ORÇAMENTO!S$15,ROW(G36)-ROW(G$15),0))</f>
        <v/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 t="str">
        <f ca="1">IF($D36&lt;&gt;"Serviço","",IF(AUTOEVENTO="manual",$A36,IF(ISERROR(MATCH($A36,$A$15:OFFSET($A36,-1,0),0)),MAX($M$15:OFFSET(M36,-1,0))+1,INDEX($M$15:OFFSET(M36,-1,0),MATCH($A36,$A$15:OFFSET($A36,-1,0),0)))))</f>
        <v/>
      </c>
      <c r="N36" s="212" t="str">
        <f ca="1">IF($D36&lt;&gt;"Serviço","",IF(AUTOEVENTO="Manual",IF($A36=0,"&lt;-- defina o número do agrupador",OFFSET(EVENTOS!$D$14,$A36,0)),OFFSET($F$15,$A36,0)))</f>
        <v/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0</v>
      </c>
      <c r="AN36" s="216">
        <f ca="1">IF($D36&lt;&gt;"Serviço",0,IF(AND(AUTOEVENTO="Manual",$M36=1),0,IF(OFFSET(CRONOPLE!$F$14,$M36,AN$13)="",10^12,OFFSET(CRONOPLE!$F$14,$M36,AN$13))))</f>
        <v>0</v>
      </c>
      <c r="AO36" s="216">
        <f ca="1">IF($D36&lt;&gt;"Serviço",0,IF(AND(AUTOEVENTO="Manual",$M36=1),0,IF(OFFSET(CRONOPLE!$F$14,$M36,AO$13)="",10^12,OFFSET(CRONOPLE!$F$14,$M36,AO$13))))</f>
        <v>0</v>
      </c>
      <c r="AP36" s="216">
        <f ca="1">IF($D36&lt;&gt;"Serviço",0,IF(AND(AUTOEVENTO="Manual",$M36=1),0,IF(OFFSET(CRONOPLE!$F$14,$M36,AP$13)="",10^12,OFFSET(CRONOPLE!$F$14,$M36,AP$13))))</f>
        <v>0</v>
      </c>
      <c r="AQ36" s="216">
        <f ca="1">IF($D36&lt;&gt;"Serviço",0,IF(AND(AUTOEVENTO="Manual",$M36=1),0,IF(OFFSET(CRONOPLE!$F$14,$M36,AQ$13)="",10^12,OFFSET(CRONOPLE!$F$14,$M36,AQ$13))))</f>
        <v>0</v>
      </c>
      <c r="AR36" s="216">
        <f ca="1">IF($D36&lt;&gt;"Serviço",0,IF(AND(AUTOEVENTO="Manual",$M36=1),0,IF(OFFSET(CRONOPLE!$F$14,$M36,AR$13)="",10^12,OFFSET(CRONOPLE!$F$14,$M36,AR$13))))</f>
        <v>0</v>
      </c>
      <c r="AS36" s="216">
        <f ca="1">IF($D36&lt;&gt;"Serviço",0,IF(AND(AUTOEVENTO="Manual",$M36=1),0,IF(OFFSET(CRONOPLE!$F$14,$M36,AS$13)="",10^12,OFFSET(CRONOPLE!$F$14,$M36,AS$13))))</f>
        <v>0</v>
      </c>
      <c r="AT36" s="216">
        <f ca="1">IF($D36&lt;&gt;"Serviço",0,IF(AND(AUTOEVENTO="Manual",$M36=1),0,IF(OFFSET(CRONOPLE!$F$14,$M36,AT$13)="",10^12,OFFSET(CRONOPLE!$F$14,$M36,AT$13))))</f>
        <v>0</v>
      </c>
      <c r="AU36" s="216">
        <f ca="1">IF($D36&lt;&gt;"Serviço",0,IF(AND(AUTOEVENTO="Manual",$M36=1),0,IF(OFFSET(CRONOPLE!$F$14,$M36,AU$13)="",10^12,OFFSET(CRONOPLE!$F$14,$M36,AU$13))))</f>
        <v>0</v>
      </c>
      <c r="AV36" s="216">
        <f ca="1">IF($D36&lt;&gt;"Serviço",0,IF(AND(AUTOEVENTO="Manual",$M36=1),0,IF(OFFSET(CRONOPLE!$F$14,$M36,AV$13)="",10^12,OFFSET(CRONOPLE!$F$14,$M36,AV$13))))</f>
        <v>0</v>
      </c>
      <c r="AX36" s="217">
        <f ca="1">IF($D36&lt;&gt;"Serviço",0,IF(OR(AND(AUTOEVENTO="Manual",$M36=1),$M36&gt;(ROW(PLE.lastrow)-ROW(PLE.firstrow))),0,IF(OFFSET(PLE!$G$14,$M36,AX$13)="",10^12,OFFSET(PLE!$G$14,$M36,AX$13))))</f>
        <v>0</v>
      </c>
      <c r="AY36" s="217">
        <f ca="1">IF($D36&lt;&gt;"Serviço",0,IF(OR(AND(AUTOEVENTO="Manual",$M36=1),$M36&gt;(ROW(PLE.lastrow)-ROW(PLE.firstrow))),0,IF(OFFSET(PLE!$G$14,$M36,AY$13)="",10^12,OFFSET(PLE!$G$14,$M36,AY$13))))</f>
        <v>0</v>
      </c>
      <c r="AZ36" s="217">
        <f ca="1">IF($D36&lt;&gt;"Serviço",0,IF(OR(AND(AUTOEVENTO="Manual",$M36=1),$M36&gt;(ROW(PLE.lastrow)-ROW(PLE.firstrow))),0,IF(OFFSET(PLE!$G$14,$M36,AZ$13)="",10^12,OFFSET(PLE!$G$14,$M36,AZ$13))))</f>
        <v>0</v>
      </c>
      <c r="BA36" s="217">
        <f ca="1">IF($D36&lt;&gt;"Serviço",0,IF(OR(AND(AUTOEVENTO="Manual",$M36=1),$M36&gt;(ROW(PLE.lastrow)-ROW(PLE.firstrow))),0,IF(OFFSET(PLE!$G$14,$M36,BA$13)="",10^12,OFFSET(PLE!$G$14,$M36,BA$13))))</f>
        <v>0</v>
      </c>
      <c r="BB36" s="217">
        <f ca="1">IF($D36&lt;&gt;"Serviço",0,IF(OR(AND(AUTOEVENTO="Manual",$M36=1),$M36&gt;(ROW(PLE.lastrow)-ROW(PLE.firstrow))),0,IF(OFFSET(PLE!$G$14,$M36,BB$13)="",10^12,OFFSET(PLE!$G$14,$M36,BB$13))))</f>
        <v>0</v>
      </c>
      <c r="BC36" s="217">
        <f ca="1">IF($D36&lt;&gt;"Serviço",0,IF(OR(AND(AUTOEVENTO="Manual",$M36=1),$M36&gt;(ROW(PLE.lastrow)-ROW(PLE.firstrow))),0,IF(OFFSET(PLE!$G$14,$M36,BC$13)="",10^12,OFFSET(PLE!$G$14,$M36,BC$13))))</f>
        <v>0</v>
      </c>
      <c r="BD36" s="217">
        <f ca="1">IF($D36&lt;&gt;"Serviço",0,IF(OR(AND(AUTOEVENTO="Manual",$M36=1),$M36&gt;(ROW(PLE.lastrow)-ROW(PLE.firstrow))),0,IF(OFFSET(PLE!$G$14,$M36,BD$13)="",10^12,OFFSET(PLE!$G$14,$M36,BD$13))))</f>
        <v>0</v>
      </c>
      <c r="BE36" s="217">
        <f ca="1">IF($D36&lt;&gt;"Serviço",0,IF(OR(AND(AUTOEVENTO="Manual",$M36=1),$M36&gt;(ROW(PLE.lastrow)-ROW(PLE.firstrow))),0,IF(OFFSET(PLE!$G$14,$M36,BE$13)="",10^12,OFFSET(PLE!$G$14,$M36,BE$13))))</f>
        <v>0</v>
      </c>
      <c r="BF36" s="217">
        <f ca="1">IF($D36&lt;&gt;"Serviço",0,IF(OR(AND(AUTOEVENTO="Manual",$M36=1),$M36&gt;(ROW(PLE.lastrow)-ROW(PLE.firstrow))),0,IF(OFFSET(PLE!$G$14,$M36,BF$13)="",10^12,OFFSET(PLE!$G$14,$M36,BF$13))))</f>
        <v>0</v>
      </c>
      <c r="BG36" s="217">
        <f ca="1">IF($D36&lt;&gt;"Serviço",0,IF(OR(AND(AUTOEVENTO="Manual",$M36=1),$M36&gt;(ROW(PLE.lastrow)-ROW(PLE.firstrow))),0,IF(OFFSET(PLE!$G$14,$M36,BG$13)="",10^12,OFFSET(PLE!$G$14,$M36,BG$13))))</f>
        <v>0</v>
      </c>
    </row>
    <row r="37" spans="1:59" ht="12.75" x14ac:dyDescent="0.2">
      <c r="A37" s="9" t="str">
        <f t="shared" ca="1" si="8"/>
        <v>21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1.3.1.</v>
      </c>
      <c r="F37" s="207" t="str">
        <f ca="1">OFFSET(ORÇAMENTO!R$15,ROW(F37)-ROW(F$15),0)</f>
        <v>CONTRAPISO EM ARGAMASSA TRAÇO 1:4 (CIMENTO E AREIA), PREPARO MECÂNICO COM BETONEIRA 400 L, APLICADO EM ÁREAS SECAS SOBRE LAJE, NÃO ADERIDO, ESPESSURA 6CM. AF_06/2014</v>
      </c>
      <c r="G37" s="208" t="str">
        <f ca="1">IF($D37&lt;&gt;"Serviço","",OFFSET(ORÇAMENTO!S$15,ROW(G37)-ROW(G$15),0))</f>
        <v>M2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31.22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(REVESTIMENTOS)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21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1.3.2.</v>
      </c>
      <c r="F38" s="207" t="str">
        <f ca="1">OFFSET(ORÇAMENTO!R$15,ROW(F38)-ROW(F$15),0)</f>
        <v>CHAPISCO APLICADO SOMENTE EM ESTRUTURAS DE CONCRETO EM ALVENARIAS INTERNAS, COM DESEMPENADEIRA DENTADA. ARGAMASSA INDUSTRIALIZADA COM PREPARO MANUAL. AF_06/2014</v>
      </c>
      <c r="G38" s="208" t="str">
        <f ca="1">IF($D38&lt;&gt;"Serviço","",OFFSET(ORÇAMENTO!S$15,ROW(G38)-ROW(G$15),0))</f>
        <v>M2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93.75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(REVESTIMENTOS)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21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1.3.3.</v>
      </c>
      <c r="F39" s="207" t="str">
        <f ca="1">OFFSET(ORÇAMENTO!R$15,ROW(F39)-ROW(F$15),0)</f>
        <v>CHAPISCO APLICADO EM ALVENARIA (SEM PRESENÇA DE VÃOS) E ESTRUTURAS DE CONCRETO DE FACHADA, COM ROLO PARA TEXTURA ACRÍLICA.  ARGAMASSA TRAÇO 1:4 E EMULSÃO POLIMÉRICA (ADESIVO) COM PREPARO MANUAL. AF_06/2014</v>
      </c>
      <c r="G39" s="208" t="str">
        <f ca="1">IF($D39&lt;&gt;"Serviço","",OFFSET(ORÇAMENTO!S$15,ROW(G39)-ROW(G$15),0))</f>
        <v>M2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60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(REVESTIMENTOS)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21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6" t="str">
        <f ca="1">OFFSET(ORÇAMENTO!N$15,ROW(D40)-ROW(D$15),0)</f>
        <v>Serviço</v>
      </c>
      <c r="E40" s="206" t="str">
        <f ca="1">OFFSET(ORÇAMENTO!O$15,ROW(E40)-ROW(E$15),0)</f>
        <v>1.3.4.</v>
      </c>
      <c r="F40" s="207" t="str">
        <f ca="1">OFFSET(ORÇAMENTO!R$15,ROW(F40)-ROW(F$15),0)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40" s="208" t="str">
        <f ca="1">IF($D40&lt;&gt;"Serviço","",OFFSET(ORÇAMENTO!S$15,ROW(G40)-ROW(G$15),0))</f>
        <v>M2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93.75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(REVESTIMENTOS)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21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6" t="str">
        <f ca="1">OFFSET(ORÇAMENTO!N$15,ROW(D41)-ROW(D$15),0)</f>
        <v>Serviço</v>
      </c>
      <c r="E41" s="206" t="str">
        <f ca="1">OFFSET(ORÇAMENTO!O$15,ROW(E41)-ROW(E$15),0)</f>
        <v>1.3.5.</v>
      </c>
      <c r="F41" s="207" t="str">
        <f ca="1">OFFSET(ORÇAMENTO!R$15,ROW(F41)-ROW(F$15),0)</f>
        <v>EMBOÇO OU MASSA ÚNICA EM ARGAMASSA TRAÇO 1:2:8, PREPARO MANUAL, APLICADA MANUALMENTE EM PANOS DE FACHADA COM PRESENÇA DE VÃOS, ESPESSURA DE 25 MM. AF_06/2014</v>
      </c>
      <c r="G41" s="208" t="str">
        <f ca="1">IF($D41&lt;&gt;"Serviço","",OFFSET(ORÇAMENTO!S$15,ROW(G41)-ROW(G$15),0))</f>
        <v>M2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60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(REVESTIMENTOS)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21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6" t="str">
        <f ca="1">OFFSET(ORÇAMENTO!N$15,ROW(D42)-ROW(D$15),0)</f>
        <v>Serviço</v>
      </c>
      <c r="E42" s="206" t="str">
        <f ca="1">OFFSET(ORÇAMENTO!O$15,ROW(E42)-ROW(E$15),0)</f>
        <v>1.3.6.</v>
      </c>
      <c r="F42" s="207" t="str">
        <f ca="1">OFFSET(ORÇAMENTO!R$15,ROW(F42)-ROW(F$15),0)</f>
        <v>REVESTIMENTO CERÂMICO PARA PAREDES INTERNAS COM PLACAS TIPO ESMALTADA EXTRA DE DIMENSÕES 20X20 CM APLICADAS EM AMBIENTES DE ÁREA MENOR QUE 5 M² A MEIA ALTURA DAS PAREDES. AF_06/2014</v>
      </c>
      <c r="G42" s="208" t="str">
        <f ca="1">IF($D42&lt;&gt;"Serviço","",OFFSET(ORÇAMENTO!S$15,ROW(G42)-ROW(G$15),0))</f>
        <v>M2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58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4</v>
      </c>
      <c r="N42" s="212" t="str">
        <f ca="1">IF($D42&lt;&gt;"Serviço","",IF(AUTOEVENTO="Manual",IF($A42=0,"&lt;-- defina o número do agrupador",OFFSET(EVENTOS!$D$14,$A42,0)),OFFSET($F$15,$A42,0)))</f>
        <v>(REVESTIMENTOS)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21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1.3.7.</v>
      </c>
      <c r="F43" s="207" t="str">
        <f ca="1">OFFSET(ORÇAMENTO!R$15,ROW(F43)-ROW(F$15),0)</f>
        <v>REJUNTE COLORIDO, CIMENTICIO</v>
      </c>
      <c r="G43" s="208" t="str">
        <f ca="1">IF($D43&lt;&gt;"Serviço","",OFFSET(ORÇAMENTO!S$15,ROW(G43)-ROW(G$15),0))</f>
        <v xml:space="preserve">KG    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23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4</v>
      </c>
      <c r="N43" s="212" t="str">
        <f ca="1">IF($D43&lt;&gt;"Serviço","",IF(AUTOEVENTO="Manual",IF($A43=0,"&lt;-- defina o número do agrupador",OFFSET(EVENTOS!$D$14,$A43,0)),OFFSET($F$15,$A43,0)))</f>
        <v>(REVESTIMENTOS)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21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1.3.8.</v>
      </c>
      <c r="F44" s="207" t="str">
        <f ca="1">OFFSET(ORÇAMENTO!R$15,ROW(F44)-ROW(F$15),0)</f>
        <v>(COMPOSIÇÃO REPRESENTATIVA) DO SERVIÇO DE REVESTIMENTO CERÂMICO PARA PISO COM PLACAS TIPO GRÉS DE DIMENSÕES 35X35 CM, PARA EDIFICAÇÃO HABITACIONAL UNIFAMILIAR (CASA) E EDIFICAÇÃO PÚBLICA PADRÃO. AF_11/2014</v>
      </c>
      <c r="G44" s="208" t="str">
        <f ca="1">IF($D44&lt;&gt;"Serviço","",OFFSET(ORÇAMENTO!S$15,ROW(G44)-ROW(G$15),0))</f>
        <v>M2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31.22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4</v>
      </c>
      <c r="N44" s="212" t="str">
        <f ca="1">IF($D44&lt;&gt;"Serviço","",IF(AUTOEVENTO="Manual",IF($A44=0,"&lt;-- defina o número do agrupador",OFFSET(EVENTOS!$D$14,$A44,0)),OFFSET($F$15,$A44,0)))</f>
        <v>(REVESTIMENTOS)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21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1.3.9.</v>
      </c>
      <c r="F45" s="207" t="str">
        <f ca="1">OFFSET(ORÇAMENTO!R$15,ROW(F45)-ROW(F$15),0)</f>
        <v>APLICAÇÃO MANUAL DE PINTURA COM TINTA TEXTURIZADA ACRÍLICA EM PANOS CEGOS DE FACHADA (SEM PRESENÇA DE VÃOS) DE EDIFÍCIOS DE MÚLTIPLOS PAVIMENTOS, UMA COR. AF_06/2014</v>
      </c>
      <c r="G45" s="208" t="str">
        <f ca="1">IF($D45&lt;&gt;"Serviço","",OFFSET(ORÇAMENTO!S$15,ROW(G45)-ROW(G$15),0))</f>
        <v>M2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60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4</v>
      </c>
      <c r="N45" s="212" t="str">
        <f ca="1">IF($D45&lt;&gt;"Serviço","",IF(AUTOEVENTO="Manual",IF($A45=0,"&lt;-- defina o número do agrupador",OFFSET(EVENTOS!$D$14,$A45,0)),OFFSET($F$15,$A45,0)))</f>
        <v>(REVESTIMENTOS)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21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1.3.10.</v>
      </c>
      <c r="F46" s="207" t="str">
        <f ca="1">OFFSET(ORÇAMENTO!R$15,ROW(F46)-ROW(F$15),0)</f>
        <v>SOLEIRA/ PEITORIL EM MARMORE, POLIDO, BRANCO COMUM, L= *15* CM, E=  *2* CM,  CORTE RETO</v>
      </c>
      <c r="G46" s="208" t="str">
        <f ca="1">IF($D46&lt;&gt;"Serviço","",OFFSET(ORÇAMENTO!S$15,ROW(G46)-ROW(G$15),0))</f>
        <v xml:space="preserve">M     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8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4</v>
      </c>
      <c r="N46" s="212" t="str">
        <f ca="1">IF($D46&lt;&gt;"Serviço","",IF(AUTOEVENTO="Manual",IF($A46=0,"&lt;-- defina o número do agrupador",OFFSET(EVENTOS!$D$14,$A46,0)),OFFSET($F$15,$A46,0)))</f>
        <v>(REVESTIMENTOS)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21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4</v>
      </c>
      <c r="N47" s="212" t="str">
        <f ca="1">IF($D47&lt;&gt;"Serviço","",IF(AUTOEVENTO="Manual",IF($A47=0,"&lt;-- defina o número do agrupador",OFFSET(EVENTOS!$D$14,$A47,0)),OFFSET($F$15,$A47,0)))</f>
        <v>(REVESTIMENTOS)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33.</v>
      </c>
      <c r="B48" s="9">
        <f ca="1">OFFSET(ORÇAMENTO!C$15,ROW(B48)-ROW(B$15),0)</f>
        <v>2</v>
      </c>
      <c r="C48" s="9" t="str">
        <f ca="1">OFFSET(ORÇAMENTO!L$15,ROW(C48)-ROW(C$15),0)</f>
        <v>F</v>
      </c>
      <c r="D48" s="146" t="str">
        <f ca="1">OFFSET(ORÇAMENTO!N$15,ROW(D48)-ROW(D$15),0)</f>
        <v>Nível 2</v>
      </c>
      <c r="E48" s="206" t="str">
        <f ca="1">OFFSET(ORÇAMENTO!O$15,ROW(E48)-ROW(E$15),0)</f>
        <v>1.4.</v>
      </c>
      <c r="F48" s="207" t="str">
        <f ca="1">OFFSET(ORÇAMENTO!R$15,ROW(F48)-ROW(F$15),0)</f>
        <v>(ESQUADRIAS METALICAS/PORTAS DE MADEIRA)</v>
      </c>
      <c r="G48" s="208" t="str">
        <f ca="1">IF($D48&lt;&gt;"Serviço","",OFFSET(ORÇAMENTO!S$15,ROW(G48)-ROW(G$15),0))</f>
        <v/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 t="str">
        <f ca="1">IF($D48&lt;&gt;"Serviço","",IF(AUTOEVENTO="manual",$A48,IF(ISERROR(MATCH($A48,$A$15:OFFSET($A48,-1,0),0)),MAX($M$15:OFFSET(M48,-1,0))+1,INDEX($M$15:OFFSET(M48,-1,0),MATCH($A48,$A$15:OFFSET($A48,-1,0),0)))))</f>
        <v/>
      </c>
      <c r="N48" s="212" t="str">
        <f ca="1">IF($D48&lt;&gt;"Serviço","",IF(AUTOEVENTO="Manual",IF($A48=0,"&lt;-- defina o número do agrupador",OFFSET(EVENTOS!$D$14,$A48,0)),OFFSET($F$15,$A48,0)))</f>
        <v/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0</v>
      </c>
      <c r="AN48" s="216">
        <f ca="1">IF($D48&lt;&gt;"Serviço",0,IF(AND(AUTOEVENTO="Manual",$M48=1),0,IF(OFFSET(CRONOPLE!$F$14,$M48,AN$13)="",10^12,OFFSET(CRONOPLE!$F$14,$M48,AN$13))))</f>
        <v>0</v>
      </c>
      <c r="AO48" s="216">
        <f ca="1">IF($D48&lt;&gt;"Serviço",0,IF(AND(AUTOEVENTO="Manual",$M48=1),0,IF(OFFSET(CRONOPLE!$F$14,$M48,AO$13)="",10^12,OFFSET(CRONOPLE!$F$14,$M48,AO$13))))</f>
        <v>0</v>
      </c>
      <c r="AP48" s="216">
        <f ca="1">IF($D48&lt;&gt;"Serviço",0,IF(AND(AUTOEVENTO="Manual",$M48=1),0,IF(OFFSET(CRONOPLE!$F$14,$M48,AP$13)="",10^12,OFFSET(CRONOPLE!$F$14,$M48,AP$13))))</f>
        <v>0</v>
      </c>
      <c r="AQ48" s="216">
        <f ca="1">IF($D48&lt;&gt;"Serviço",0,IF(AND(AUTOEVENTO="Manual",$M48=1),0,IF(OFFSET(CRONOPLE!$F$14,$M48,AQ$13)="",10^12,OFFSET(CRONOPLE!$F$14,$M48,AQ$13))))</f>
        <v>0</v>
      </c>
      <c r="AR48" s="216">
        <f ca="1">IF($D48&lt;&gt;"Serviço",0,IF(AND(AUTOEVENTO="Manual",$M48=1),0,IF(OFFSET(CRONOPLE!$F$14,$M48,AR$13)="",10^12,OFFSET(CRONOPLE!$F$14,$M48,AR$13))))</f>
        <v>0</v>
      </c>
      <c r="AS48" s="216">
        <f ca="1">IF($D48&lt;&gt;"Serviço",0,IF(AND(AUTOEVENTO="Manual",$M48=1),0,IF(OFFSET(CRONOPLE!$F$14,$M48,AS$13)="",10^12,OFFSET(CRONOPLE!$F$14,$M48,AS$13))))</f>
        <v>0</v>
      </c>
      <c r="AT48" s="216">
        <f ca="1">IF($D48&lt;&gt;"Serviço",0,IF(AND(AUTOEVENTO="Manual",$M48=1),0,IF(OFFSET(CRONOPLE!$F$14,$M48,AT$13)="",10^12,OFFSET(CRONOPLE!$F$14,$M48,AT$13))))</f>
        <v>0</v>
      </c>
      <c r="AU48" s="216">
        <f ca="1">IF($D48&lt;&gt;"Serviço",0,IF(AND(AUTOEVENTO="Manual",$M48=1),0,IF(OFFSET(CRONOPLE!$F$14,$M48,AU$13)="",10^12,OFFSET(CRONOPLE!$F$14,$M48,AU$13))))</f>
        <v>0</v>
      </c>
      <c r="AV48" s="216">
        <f ca="1">IF($D48&lt;&gt;"Serviço",0,IF(AND(AUTOEVENTO="Manual",$M48=1),0,IF(OFFSET(CRONOPLE!$F$14,$M48,AV$13)="",10^12,OFFSET(CRONOPLE!$F$14,$M48,AV$13))))</f>
        <v>0</v>
      </c>
      <c r="AX48" s="217">
        <f ca="1">IF($D48&lt;&gt;"Serviço",0,IF(OR(AND(AUTOEVENTO="Manual",$M48=1),$M48&gt;(ROW(PLE.lastrow)-ROW(PLE.firstrow))),0,IF(OFFSET(PLE!$G$14,$M48,AX$13)="",10^12,OFFSET(PLE!$G$14,$M48,AX$13))))</f>
        <v>0</v>
      </c>
      <c r="AY48" s="217">
        <f ca="1">IF($D48&lt;&gt;"Serviço",0,IF(OR(AND(AUTOEVENTO="Manual",$M48=1),$M48&gt;(ROW(PLE.lastrow)-ROW(PLE.firstrow))),0,IF(OFFSET(PLE!$G$14,$M48,AY$13)="",10^12,OFFSET(PLE!$G$14,$M48,AY$13))))</f>
        <v>0</v>
      </c>
      <c r="AZ48" s="217">
        <f ca="1">IF($D48&lt;&gt;"Serviço",0,IF(OR(AND(AUTOEVENTO="Manual",$M48=1),$M48&gt;(ROW(PLE.lastrow)-ROW(PLE.firstrow))),0,IF(OFFSET(PLE!$G$14,$M48,AZ$13)="",10^12,OFFSET(PLE!$G$14,$M48,AZ$13))))</f>
        <v>0</v>
      </c>
      <c r="BA48" s="217">
        <f ca="1">IF($D48&lt;&gt;"Serviço",0,IF(OR(AND(AUTOEVENTO="Manual",$M48=1),$M48&gt;(ROW(PLE.lastrow)-ROW(PLE.firstrow))),0,IF(OFFSET(PLE!$G$14,$M48,BA$13)="",10^12,OFFSET(PLE!$G$14,$M48,BA$13))))</f>
        <v>0</v>
      </c>
      <c r="BB48" s="217">
        <f ca="1">IF($D48&lt;&gt;"Serviço",0,IF(OR(AND(AUTOEVENTO="Manual",$M48=1),$M48&gt;(ROW(PLE.lastrow)-ROW(PLE.firstrow))),0,IF(OFFSET(PLE!$G$14,$M48,BB$13)="",10^12,OFFSET(PLE!$G$14,$M48,BB$13))))</f>
        <v>0</v>
      </c>
      <c r="BC48" s="217">
        <f ca="1">IF($D48&lt;&gt;"Serviço",0,IF(OR(AND(AUTOEVENTO="Manual",$M48=1),$M48&gt;(ROW(PLE.lastrow)-ROW(PLE.firstrow))),0,IF(OFFSET(PLE!$G$14,$M48,BC$13)="",10^12,OFFSET(PLE!$G$14,$M48,BC$13))))</f>
        <v>0</v>
      </c>
      <c r="BD48" s="217">
        <f ca="1">IF($D48&lt;&gt;"Serviço",0,IF(OR(AND(AUTOEVENTO="Manual",$M48=1),$M48&gt;(ROW(PLE.lastrow)-ROW(PLE.firstrow))),0,IF(OFFSET(PLE!$G$14,$M48,BD$13)="",10^12,OFFSET(PLE!$G$14,$M48,BD$13))))</f>
        <v>0</v>
      </c>
      <c r="BE48" s="217">
        <f ca="1">IF($D48&lt;&gt;"Serviço",0,IF(OR(AND(AUTOEVENTO="Manual",$M48=1),$M48&gt;(ROW(PLE.lastrow)-ROW(PLE.firstrow))),0,IF(OFFSET(PLE!$G$14,$M48,BE$13)="",10^12,OFFSET(PLE!$G$14,$M48,BE$13))))</f>
        <v>0</v>
      </c>
      <c r="BF48" s="217">
        <f ca="1">IF($D48&lt;&gt;"Serviço",0,IF(OR(AND(AUTOEVENTO="Manual",$M48=1),$M48&gt;(ROW(PLE.lastrow)-ROW(PLE.firstrow))),0,IF(OFFSET(PLE!$G$14,$M48,BF$13)="",10^12,OFFSET(PLE!$G$14,$M48,BF$13))))</f>
        <v>0</v>
      </c>
      <c r="BG48" s="217">
        <f ca="1">IF($D48&lt;&gt;"Serviço",0,IF(OR(AND(AUTOEVENTO="Manual",$M48=1),$M48&gt;(ROW(PLE.lastrow)-ROW(PLE.firstrow))),0,IF(OFFSET(PLE!$G$14,$M48,BG$13)="",10^12,OFFSET(PLE!$G$14,$M48,BG$13))))</f>
        <v>0</v>
      </c>
    </row>
    <row r="49" spans="1:59" ht="38.25" x14ac:dyDescent="0.2">
      <c r="A49" s="9" t="str">
        <f t="shared" ca="1" si="8"/>
        <v>33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1.4.1.</v>
      </c>
      <c r="F49" s="207" t="str">
        <f ca="1">OFFSET(ORÇAMENTO!R$15,ROW(F49)-ROW(F$15),0)</f>
        <v>JANELA DE ALUMÍNIO TIPO MAXIM-AR, COM VIDROS, BATENTE E FERRAGENS. EXCLUSIVE ALIZAR, ACABAMENTO E CONTRAMARCO. FORNECIMENTO E INSTALAÇÃO. AF_12/2019</v>
      </c>
      <c r="G49" s="208" t="str">
        <f ca="1">IF($D49&lt;&gt;"Serviço","",OFFSET(ORÇAMENTO!S$15,ROW(G49)-ROW(G$15),0))</f>
        <v>M2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0.48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(ESQUADRIAS METALICAS/PORTAS DE MADEIRA)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38.25" x14ac:dyDescent="0.2">
      <c r="A50" s="9" t="str">
        <f t="shared" ca="1" si="8"/>
        <v>33</v>
      </c>
      <c r="B50" s="9" t="str">
        <f ca="1">OFFSET(ORÇAMENTO!C$15,ROW(B50)-ROW(B$15),0)</f>
        <v>S</v>
      </c>
      <c r="C50" s="9" t="str">
        <f ca="1">OFFSET(ORÇAMENTO!L$15,ROW(C50)-ROW(C$15),0)</f>
        <v>F</v>
      </c>
      <c r="D50" s="146" t="str">
        <f ca="1">OFFSET(ORÇAMENTO!N$15,ROW(D50)-ROW(D$15),0)</f>
        <v>Serviço</v>
      </c>
      <c r="E50" s="206" t="str">
        <f ca="1">OFFSET(ORÇAMENTO!O$15,ROW(E50)-ROW(E$15),0)</f>
        <v>1.4.2.</v>
      </c>
      <c r="F50" s="207" t="str">
        <f ca="1">OFFSET(ORÇAMENTO!R$15,ROW(F50)-ROW(F$15),0)</f>
        <v>JANELA BASCULANTE EM ALUMINIO, 100 X 80 CM (A X L), ACABAMENTO ACET OU BRILHANTE, BATENTE/REQUADRO DE 3 A 14 CM, COM VIDRO, SEM GUARNICAO/ALIZAR</v>
      </c>
      <c r="G50" s="208" t="str">
        <f ca="1">IF($D50&lt;&gt;"Serviço","",OFFSET(ORÇAMENTO!S$15,ROW(G50)-ROW(G$15),0))</f>
        <v xml:space="preserve">UN    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3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5</v>
      </c>
      <c r="N50" s="212" t="str">
        <f ca="1">IF($D50&lt;&gt;"Serviço","",IF(AUTOEVENTO="Manual",IF($A50=0,"&lt;-- defina o número do agrupador",OFFSET(EVENTOS!$D$14,$A50,0)),OFFSET($F$15,$A50,0)))</f>
        <v>(ESQUADRIAS METALICAS/PORTAS DE MADEIRA)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38.25" x14ac:dyDescent="0.2">
      <c r="A51" s="9" t="str">
        <f t="shared" ca="1" si="8"/>
        <v>33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1.4.3.</v>
      </c>
      <c r="F51" s="207" t="str">
        <f ca="1">OFFSET(ORÇAMENTO!R$15,ROW(F51)-ROW(F$15),0)</f>
        <v>PORTA DE MADEIRA PARA PINTURA, SEMI-OCA (LEVE OU MÉDIA), 80X210CM, ESPESSURA DE 3,5CM, INCLUSO DOBRADIÇAS - FORNECIMENTO E INSTALAÇÃO. AF_12/2019</v>
      </c>
      <c r="G51" s="208" t="str">
        <f ca="1">IF($D51&lt;&gt;"Serviço","",OFFSET(ORÇAMENTO!S$15,ROW(G51)-ROW(G$15),0))</f>
        <v>UN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5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5</v>
      </c>
      <c r="N51" s="212" t="str">
        <f ca="1">IF($D51&lt;&gt;"Serviço","",IF(AUTOEVENTO="Manual",IF($A51=0,"&lt;-- defina o número do agrupador",OFFSET(EVENTOS!$D$14,$A51,0)),OFFSET($F$15,$A51,0)))</f>
        <v>(ESQUADRIAS METALICAS/PORTAS DE MADEIRA)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38.25" x14ac:dyDescent="0.2">
      <c r="A52" s="9" t="str">
        <f t="shared" ca="1" si="8"/>
        <v>33</v>
      </c>
      <c r="B52" s="9" t="str">
        <f ca="1">OFFSET(ORÇAMENTO!C$15,ROW(B52)-ROW(B$15),0)</f>
        <v>S</v>
      </c>
      <c r="C52" s="9" t="str">
        <f ca="1">OFFSET(ORÇAMENTO!L$15,ROW(C52)-ROW(C$15),0)</f>
        <v>F</v>
      </c>
      <c r="D52" s="146" t="str">
        <f ca="1">OFFSET(ORÇAMENTO!N$15,ROW(D52)-ROW(D$15),0)</f>
        <v>Serviço</v>
      </c>
      <c r="E52" s="206" t="str">
        <f ca="1">OFFSET(ORÇAMENTO!O$15,ROW(E52)-ROW(E$15),0)</f>
        <v>1.4.4.</v>
      </c>
      <c r="F52" s="207" t="str">
        <f ca="1">OFFSET(ORÇAMENTO!R$15,ROW(F52)-ROW(F$15),0)</f>
        <v>PORTA VIDRO TEMPERADO INCOLOR, 2 FOLHAS DE CORRER, E = 10 MM (SEM FERRAGENS E SEM COLOCACAO)</v>
      </c>
      <c r="G52" s="208" t="str">
        <f ca="1">IF($D52&lt;&gt;"Serviço","",OFFSET(ORÇAMENTO!S$15,ROW(G52)-ROW(G$15),0))</f>
        <v xml:space="preserve">M2    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1.68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5</v>
      </c>
      <c r="N52" s="212" t="str">
        <f ca="1">IF($D52&lt;&gt;"Serviço","",IF(AUTOEVENTO="Manual",IF($A52=0,"&lt;-- defina o número do agrupador",OFFSET(EVENTOS!$D$14,$A52,0)),OFFSET($F$15,$A52,0)))</f>
        <v>(ESQUADRIAS METALICAS/PORTAS DE MADEIRA)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38.25" x14ac:dyDescent="0.2">
      <c r="A53" s="9" t="str">
        <f t="shared" ca="1" si="8"/>
        <v>33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12" t="str">
        <f ca="1">IF($D53&lt;&gt;"Serviço","",IF(AUTOEVENTO="Manual",IF($A53=0,"&lt;-- defina o número do agrupador",OFFSET(EVENTOS!$D$14,$A53,0)),OFFSET($F$15,$A53,0)))</f>
        <v>(ESQUADRIAS METALICAS/PORTAS DE MADEIRA)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38.25" x14ac:dyDescent="0.2">
      <c r="A54" s="9" t="str">
        <f t="shared" ca="1" si="8"/>
        <v>33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12" t="str">
        <f ca="1">IF($D54&lt;&gt;"Serviço","",IF(AUTOEVENTO="Manual",IF($A54=0,"&lt;-- defina o número do agrupador",OFFSET(EVENTOS!$D$14,$A54,0)),OFFSET($F$15,$A54,0)))</f>
        <v>(ESQUADRIAS METALICAS/PORTAS DE MADEIRA)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38.25" x14ac:dyDescent="0.2">
      <c r="A55" s="9" t="str">
        <f t="shared" ca="1" si="8"/>
        <v>33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5</v>
      </c>
      <c r="N55" s="212" t="str">
        <f ca="1">IF($D55&lt;&gt;"Serviço","",IF(AUTOEVENTO="Manual",IF($A55=0,"&lt;-- defina o número do agrupador",OFFSET(EVENTOS!$D$14,$A55,0)),OFFSET($F$15,$A55,0)))</f>
        <v>(ESQUADRIAS METALICAS/PORTAS DE MADEIRA)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41.</v>
      </c>
      <c r="B56" s="9">
        <f ca="1">OFFSET(ORÇAMENTO!C$15,ROW(B56)-ROW(B$15),0)</f>
        <v>2</v>
      </c>
      <c r="C56" s="9" t="str">
        <f ca="1">OFFSET(ORÇAMENTO!L$15,ROW(C56)-ROW(C$15),0)</f>
        <v>F</v>
      </c>
      <c r="D56" s="146" t="str">
        <f ca="1">OFFSET(ORÇAMENTO!N$15,ROW(D56)-ROW(D$15),0)</f>
        <v>Nível 2</v>
      </c>
      <c r="E56" s="206" t="str">
        <f ca="1">OFFSET(ORÇAMENTO!O$15,ROW(E56)-ROW(E$15),0)</f>
        <v>1.5.</v>
      </c>
      <c r="F56" s="207" t="str">
        <f ca="1">OFFSET(ORÇAMENTO!R$15,ROW(F56)-ROW(F$15),0)</f>
        <v>(INSTALAÇÕES ELETRICAS)</v>
      </c>
      <c r="G56" s="208" t="str">
        <f ca="1">IF($D56&lt;&gt;"Serviço","",OFFSET(ORÇAMENTO!S$15,ROW(G56)-ROW(G$15),0))</f>
        <v/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 t="str">
        <f ca="1">IF($D56&lt;&gt;"Serviço","",IF(AUTOEVENTO="manual",$A56,IF(ISERROR(MATCH($A56,$A$15:OFFSET($A56,-1,0),0)),MAX($M$15:OFFSET(M56,-1,0))+1,INDEX($M$15:OFFSET(M56,-1,0),MATCH($A56,$A$15:OFFSET($A56,-1,0),0)))))</f>
        <v/>
      </c>
      <c r="N56" s="212" t="str">
        <f ca="1">IF($D56&lt;&gt;"Serviço","",IF(AUTOEVENTO="Manual",IF($A56=0,"&lt;-- defina o número do agrupador",OFFSET(EVENTOS!$D$14,$A56,0)),OFFSET($F$15,$A56,0)))</f>
        <v/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0</v>
      </c>
      <c r="AN56" s="216">
        <f ca="1">IF($D56&lt;&gt;"Serviço",0,IF(AND(AUTOEVENTO="Manual",$M56=1),0,IF(OFFSET(CRONOPLE!$F$14,$M56,AN$13)="",10^12,OFFSET(CRONOPLE!$F$14,$M56,AN$13))))</f>
        <v>0</v>
      </c>
      <c r="AO56" s="216">
        <f ca="1">IF($D56&lt;&gt;"Serviço",0,IF(AND(AUTOEVENTO="Manual",$M56=1),0,IF(OFFSET(CRONOPLE!$F$14,$M56,AO$13)="",10^12,OFFSET(CRONOPLE!$F$14,$M56,AO$13))))</f>
        <v>0</v>
      </c>
      <c r="AP56" s="216">
        <f ca="1">IF($D56&lt;&gt;"Serviço",0,IF(AND(AUTOEVENTO="Manual",$M56=1),0,IF(OFFSET(CRONOPLE!$F$14,$M56,AP$13)="",10^12,OFFSET(CRONOPLE!$F$14,$M56,AP$13))))</f>
        <v>0</v>
      </c>
      <c r="AQ56" s="216">
        <f ca="1">IF($D56&lt;&gt;"Serviço",0,IF(AND(AUTOEVENTO="Manual",$M56=1),0,IF(OFFSET(CRONOPLE!$F$14,$M56,AQ$13)="",10^12,OFFSET(CRONOPLE!$F$14,$M56,AQ$13))))</f>
        <v>0</v>
      </c>
      <c r="AR56" s="216">
        <f ca="1">IF($D56&lt;&gt;"Serviço",0,IF(AND(AUTOEVENTO="Manual",$M56=1),0,IF(OFFSET(CRONOPLE!$F$14,$M56,AR$13)="",10^12,OFFSET(CRONOPLE!$F$14,$M56,AR$13))))</f>
        <v>0</v>
      </c>
      <c r="AS56" s="216">
        <f ca="1">IF($D56&lt;&gt;"Serviço",0,IF(AND(AUTOEVENTO="Manual",$M56=1),0,IF(OFFSET(CRONOPLE!$F$14,$M56,AS$13)="",10^12,OFFSET(CRONOPLE!$F$14,$M56,AS$13))))</f>
        <v>0</v>
      </c>
      <c r="AT56" s="216">
        <f ca="1">IF($D56&lt;&gt;"Serviço",0,IF(AND(AUTOEVENTO="Manual",$M56=1),0,IF(OFFSET(CRONOPLE!$F$14,$M56,AT$13)="",10^12,OFFSET(CRONOPLE!$F$14,$M56,AT$13))))</f>
        <v>0</v>
      </c>
      <c r="AU56" s="216">
        <f ca="1">IF($D56&lt;&gt;"Serviço",0,IF(AND(AUTOEVENTO="Manual",$M56=1),0,IF(OFFSET(CRONOPLE!$F$14,$M56,AU$13)="",10^12,OFFSET(CRONOPLE!$F$14,$M56,AU$13))))</f>
        <v>0</v>
      </c>
      <c r="AV56" s="216">
        <f ca="1">IF($D56&lt;&gt;"Serviço",0,IF(AND(AUTOEVENTO="Manual",$M56=1),0,IF(OFFSET(CRONOPLE!$F$14,$M56,AV$13)="",10^12,OFFSET(CRONOPLE!$F$14,$M56,AV$13))))</f>
        <v>0</v>
      </c>
      <c r="AX56" s="217">
        <f ca="1">IF($D56&lt;&gt;"Serviço",0,IF(OR(AND(AUTOEVENTO="Manual",$M56=1),$M56&gt;(ROW(PLE.lastrow)-ROW(PLE.firstrow))),0,IF(OFFSET(PLE!$G$14,$M56,AX$13)="",10^12,OFFSET(PLE!$G$14,$M56,AX$13))))</f>
        <v>0</v>
      </c>
      <c r="AY56" s="217">
        <f ca="1">IF($D56&lt;&gt;"Serviço",0,IF(OR(AND(AUTOEVENTO="Manual",$M56=1),$M56&gt;(ROW(PLE.lastrow)-ROW(PLE.firstrow))),0,IF(OFFSET(PLE!$G$14,$M56,AY$13)="",10^12,OFFSET(PLE!$G$14,$M56,AY$13))))</f>
        <v>0</v>
      </c>
      <c r="AZ56" s="217">
        <f ca="1">IF($D56&lt;&gt;"Serviço",0,IF(OR(AND(AUTOEVENTO="Manual",$M56=1),$M56&gt;(ROW(PLE.lastrow)-ROW(PLE.firstrow))),0,IF(OFFSET(PLE!$G$14,$M56,AZ$13)="",10^12,OFFSET(PLE!$G$14,$M56,AZ$13))))</f>
        <v>0</v>
      </c>
      <c r="BA56" s="217">
        <f ca="1">IF($D56&lt;&gt;"Serviço",0,IF(OR(AND(AUTOEVENTO="Manual",$M56=1),$M56&gt;(ROW(PLE.lastrow)-ROW(PLE.firstrow))),0,IF(OFFSET(PLE!$G$14,$M56,BA$13)="",10^12,OFFSET(PLE!$G$14,$M56,BA$13))))</f>
        <v>0</v>
      </c>
      <c r="BB56" s="217">
        <f ca="1">IF($D56&lt;&gt;"Serviço",0,IF(OR(AND(AUTOEVENTO="Manual",$M56=1),$M56&gt;(ROW(PLE.lastrow)-ROW(PLE.firstrow))),0,IF(OFFSET(PLE!$G$14,$M56,BB$13)="",10^12,OFFSET(PLE!$G$14,$M56,BB$13))))</f>
        <v>0</v>
      </c>
      <c r="BC56" s="217">
        <f ca="1">IF($D56&lt;&gt;"Serviço",0,IF(OR(AND(AUTOEVENTO="Manual",$M56=1),$M56&gt;(ROW(PLE.lastrow)-ROW(PLE.firstrow))),0,IF(OFFSET(PLE!$G$14,$M56,BC$13)="",10^12,OFFSET(PLE!$G$14,$M56,BC$13))))</f>
        <v>0</v>
      </c>
      <c r="BD56" s="217">
        <f ca="1">IF($D56&lt;&gt;"Serviço",0,IF(OR(AND(AUTOEVENTO="Manual",$M56=1),$M56&gt;(ROW(PLE.lastrow)-ROW(PLE.firstrow))),0,IF(OFFSET(PLE!$G$14,$M56,BD$13)="",10^12,OFFSET(PLE!$G$14,$M56,BD$13))))</f>
        <v>0</v>
      </c>
      <c r="BE56" s="217">
        <f ca="1">IF($D56&lt;&gt;"Serviço",0,IF(OR(AND(AUTOEVENTO="Manual",$M56=1),$M56&gt;(ROW(PLE.lastrow)-ROW(PLE.firstrow))),0,IF(OFFSET(PLE!$G$14,$M56,BE$13)="",10^12,OFFSET(PLE!$G$14,$M56,BE$13))))</f>
        <v>0</v>
      </c>
      <c r="BF56" s="217">
        <f ca="1">IF($D56&lt;&gt;"Serviço",0,IF(OR(AND(AUTOEVENTO="Manual",$M56=1),$M56&gt;(ROW(PLE.lastrow)-ROW(PLE.firstrow))),0,IF(OFFSET(PLE!$G$14,$M56,BF$13)="",10^12,OFFSET(PLE!$G$14,$M56,BF$13))))</f>
        <v>0</v>
      </c>
      <c r="BG56" s="217">
        <f ca="1">IF($D56&lt;&gt;"Serviço",0,IF(OR(AND(AUTOEVENTO="Manual",$M56=1),$M56&gt;(ROW(PLE.lastrow)-ROW(PLE.firstrow))),0,IF(OFFSET(PLE!$G$14,$M56,BG$13)="",10^12,OFFSET(PLE!$G$14,$M56,BG$13))))</f>
        <v>0</v>
      </c>
    </row>
    <row r="57" spans="1:59" ht="12.75" x14ac:dyDescent="0.2">
      <c r="A57" s="9" t="str">
        <f t="shared" ca="1" si="8"/>
        <v>41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6" t="str">
        <f ca="1">OFFSET(ORÇAMENTO!N$15,ROW(D57)-ROW(D$15),0)</f>
        <v>Serviço</v>
      </c>
      <c r="E57" s="206" t="str">
        <f ca="1">OFFSET(ORÇAMENTO!O$15,ROW(E57)-ROW(E$15),0)</f>
        <v>1.5.1.</v>
      </c>
      <c r="F57" s="207" t="str">
        <f ca="1">OFFSET(ORÇAMENTO!R$15,ROW(F57)-ROW(F$15),0)</f>
        <v>FIO DE COBRE, SOLIDO, CLASSE 1, ISOLACAO EM PVC/A, ANTICHAMA BWF-B, 450/750V, SECAO NOMINAL 2,5 MM2</v>
      </c>
      <c r="G57" s="208" t="str">
        <f ca="1">IF($D57&lt;&gt;"Serviço","",OFFSET(ORÇAMENTO!S$15,ROW(G57)-ROW(G$15),0))</f>
        <v xml:space="preserve">M     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102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(INSTALAÇÕES ELETRICAS)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41</v>
      </c>
      <c r="B58" s="9" t="str">
        <f ca="1">OFFSET(ORÇAMENTO!C$15,ROW(B58)-ROW(B$15),0)</f>
        <v>S</v>
      </c>
      <c r="C58" s="9" t="str">
        <f ca="1">OFFSET(ORÇAMENTO!L$15,ROW(C58)-ROW(C$15),0)</f>
        <v>F</v>
      </c>
      <c r="D58" s="146" t="str">
        <f ca="1">OFFSET(ORÇAMENTO!N$15,ROW(D58)-ROW(D$15),0)</f>
        <v>Serviço</v>
      </c>
      <c r="E58" s="206" t="str">
        <f ca="1">OFFSET(ORÇAMENTO!O$15,ROW(E58)-ROW(E$15),0)</f>
        <v>1.5.2.</v>
      </c>
      <c r="F58" s="207" t="str">
        <f ca="1">OFFSET(ORÇAMENTO!R$15,ROW(F58)-ROW(F$15),0)</f>
        <v>FIO DE COBRE, SOLIDO, CLASSE 1, ISOLACAO EM PVC/A, ANTICHAMA BWF-B, 450/750V, SECAO NOMINAL 4 MM2</v>
      </c>
      <c r="G58" s="208" t="str">
        <f ca="1">IF($D58&lt;&gt;"Serviço","",OFFSET(ORÇAMENTO!S$15,ROW(G58)-ROW(G$15),0))</f>
        <v xml:space="preserve">M     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190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(INSTALAÇÕES ELETRICAS)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41</v>
      </c>
      <c r="B59" s="9" t="str">
        <f ca="1">OFFSET(ORÇAMENTO!C$15,ROW(B59)-ROW(B$15),0)</f>
        <v>S</v>
      </c>
      <c r="C59" s="9" t="str">
        <f ca="1">OFFSET(ORÇAMENTO!L$15,ROW(C59)-ROW(C$15),0)</f>
        <v>F</v>
      </c>
      <c r="D59" s="146" t="str">
        <f ca="1">OFFSET(ORÇAMENTO!N$15,ROW(D59)-ROW(D$15),0)</f>
        <v>Serviço</v>
      </c>
      <c r="E59" s="206" t="str">
        <f ca="1">OFFSET(ORÇAMENTO!O$15,ROW(E59)-ROW(E$15),0)</f>
        <v>1.5.3.</v>
      </c>
      <c r="F59" s="207" t="str">
        <f ca="1">OFFSET(ORÇAMENTO!R$15,ROW(F59)-ROW(F$15),0)</f>
        <v>FIO DE COBRE, SOLIDO, CLASSE 1, ISOLACAO EM PVC/A, ANTICHAMA BWF-B, 450/750V, SECAO NOMINAL 6 MM2</v>
      </c>
      <c r="G59" s="208" t="str">
        <f ca="1">IF($D59&lt;&gt;"Serviço","",OFFSET(ORÇAMENTO!S$15,ROW(G59)-ROW(G$15),0))</f>
        <v xml:space="preserve">M     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33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(INSTALAÇÕES ELETRICAS)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41</v>
      </c>
      <c r="B60" s="9" t="str">
        <f ca="1">OFFSET(ORÇAMENTO!C$15,ROW(B60)-ROW(B$15),0)</f>
        <v>S</v>
      </c>
      <c r="C60" s="9" t="str">
        <f ca="1">OFFSET(ORÇAMENTO!L$15,ROW(C60)-ROW(C$15),0)</f>
        <v>F</v>
      </c>
      <c r="D60" s="146" t="str">
        <f ca="1">OFFSET(ORÇAMENTO!N$15,ROW(D60)-ROW(D$15),0)</f>
        <v>Serviço</v>
      </c>
      <c r="E60" s="206" t="str">
        <f ca="1">OFFSET(ORÇAMENTO!O$15,ROW(E60)-ROW(E$15),0)</f>
        <v>1.5.4.</v>
      </c>
      <c r="F60" s="207" t="str">
        <f ca="1">OFFSET(ORÇAMENTO!R$15,ROW(F60)-ROW(F$15),0)</f>
        <v>INTERRUPTOR SIMPLES + INTERRUPTOR PARALELO 10A, 250V, CONJUNTO MONTADO PARA EMBUTIR 4" X 2" (PLACA + SUPORTE + MODULOS)</v>
      </c>
      <c r="G60" s="208" t="str">
        <f ca="1">IF($D60&lt;&gt;"Serviço","",OFFSET(ORÇAMENTO!S$15,ROW(G60)-ROW(G$15),0))</f>
        <v xml:space="preserve">UN    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6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(INSTALAÇÕES ELETRICAS)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41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6" t="str">
        <f ca="1">OFFSET(ORÇAMENTO!N$15,ROW(D61)-ROW(D$15),0)</f>
        <v>Serviço</v>
      </c>
      <c r="E61" s="206" t="str">
        <f ca="1">OFFSET(ORÇAMENTO!O$15,ROW(E61)-ROW(E$15),0)</f>
        <v>1.5.5.</v>
      </c>
      <c r="F61" s="207" t="str">
        <f ca="1">OFFSET(ORÇAMENTO!R$15,ROW(F61)-ROW(F$15),0)</f>
        <v>TOMADA MÉDIA DE EMBUTIR (1 MÓDULO), 2P+T 20 A, INCLUINDO SUPORTE E PLACA - FORNECIMENTO E INSTALAÇÃO. AF_12/2015</v>
      </c>
      <c r="G61" s="208" t="str">
        <f ca="1">IF($D61&lt;&gt;"Serviço","",OFFSET(ORÇAMENTO!S$15,ROW(G61)-ROW(G$15),0))</f>
        <v>UN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9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(INSTALAÇÕES ELETRICAS)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41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6" t="str">
        <f ca="1">OFFSET(ORÇAMENTO!N$15,ROW(D62)-ROW(D$15),0)</f>
        <v>Serviço</v>
      </c>
      <c r="E62" s="206" t="str">
        <f ca="1">OFFSET(ORÇAMENTO!O$15,ROW(E62)-ROW(E$15),0)</f>
        <v>1.5.6.</v>
      </c>
      <c r="F62" s="207" t="str">
        <f ca="1">OFFSET(ORÇAMENTO!R$15,ROW(F62)-ROW(F$15),0)</f>
        <v>TOMADA ALTA DE EMBUTIR (1 MÓDULO), 2P+T 10 A, SEM SUPORTE E SEM PLACA - FORNECIMENTO E INSTALAÇÃO. AF_12/2015</v>
      </c>
      <c r="G62" s="208" t="str">
        <f ca="1">IF($D62&lt;&gt;"Serviço","",OFFSET(ORÇAMENTO!S$15,ROW(G62)-ROW(G$15),0))</f>
        <v>UN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1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(INSTALAÇÕES ELETRICAS)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41</v>
      </c>
      <c r="B63" s="9" t="str">
        <f ca="1">OFFSET(ORÇAMENTO!C$15,ROW(B63)-ROW(B$15),0)</f>
        <v>S</v>
      </c>
      <c r="C63" s="9" t="str">
        <f ca="1">OFFSET(ORÇAMENTO!L$15,ROW(C63)-ROW(C$15),0)</f>
        <v>F</v>
      </c>
      <c r="D63" s="146" t="str">
        <f ca="1">OFFSET(ORÇAMENTO!N$15,ROW(D63)-ROW(D$15),0)</f>
        <v>Serviço</v>
      </c>
      <c r="E63" s="206" t="str">
        <f ca="1">OFFSET(ORÇAMENTO!O$15,ROW(E63)-ROW(E$15),0)</f>
        <v>1.5.7.</v>
      </c>
      <c r="F63" s="207" t="str">
        <f ca="1">OFFSET(ORÇAMENTO!R$15,ROW(F63)-ROW(F$15),0)</f>
        <v>QUADRO DE DISTRIBUICAO, SEM BARRAMENTO, EM PVC, DE SOBREPOR, PARA 6 DISJUNTORES NEMA OU 8 DISJUNTORES DIN</v>
      </c>
      <c r="G63" s="208" t="str">
        <f ca="1">IF($D63&lt;&gt;"Serviço","",OFFSET(ORÇAMENTO!S$15,ROW(G63)-ROW(G$15),0))</f>
        <v xml:space="preserve">UN    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1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(INSTALAÇÕES ELETRICAS)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41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6" t="str">
        <f ca="1">OFFSET(ORÇAMENTO!N$15,ROW(D64)-ROW(D$15),0)</f>
        <v>Serviço</v>
      </c>
      <c r="E64" s="206" t="str">
        <f ca="1">OFFSET(ORÇAMENTO!O$15,ROW(E64)-ROW(E$15),0)</f>
        <v>1.5.8.</v>
      </c>
      <c r="F64" s="207" t="str">
        <f ca="1">OFFSET(ORÇAMENTO!R$15,ROW(F64)-ROW(F$15),0)</f>
        <v>SOQUETE DE PORCELANA BASE E27, FIXO DE TETO, PARA LAMPADAS</v>
      </c>
      <c r="G64" s="208" t="str">
        <f ca="1">IF($D64&lt;&gt;"Serviço","",OFFSET(ORÇAMENTO!S$15,ROW(G64)-ROW(G$15),0))</f>
        <v xml:space="preserve">UN    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8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(INSTALAÇÕES ELETRICAS)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41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6" t="str">
        <f ca="1">OFFSET(ORÇAMENTO!N$15,ROW(D65)-ROW(D$15),0)</f>
        <v>Serviço</v>
      </c>
      <c r="E65" s="206" t="str">
        <f ca="1">OFFSET(ORÇAMENTO!O$15,ROW(E65)-ROW(E$15),0)</f>
        <v>1.5.9.</v>
      </c>
      <c r="F65" s="207" t="str">
        <f ca="1">OFFSET(ORÇAMENTO!R$15,ROW(F65)-ROW(F$15),0)</f>
        <v>LAMPADA FLUORESCENTE ESPIRAL BRANCA 45 W, BASE E27 (127/220 V)</v>
      </c>
      <c r="G65" s="208" t="str">
        <f ca="1">IF($D65&lt;&gt;"Serviço","",OFFSET(ORÇAMENTO!S$15,ROW(G65)-ROW(G$15),0))</f>
        <v xml:space="preserve">UN    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8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(INSTALAÇÕES ELETRICAS)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41</v>
      </c>
      <c r="B66" s="9" t="str">
        <f ca="1">OFFSET(ORÇAMENTO!C$15,ROW(B66)-ROW(B$15),0)</f>
        <v>S</v>
      </c>
      <c r="C66" s="9" t="str">
        <f ca="1">OFFSET(ORÇAMENTO!L$15,ROW(C66)-ROW(C$15),0)</f>
        <v>F</v>
      </c>
      <c r="D66" s="146" t="str">
        <f ca="1">OFFSET(ORÇAMENTO!N$15,ROW(D66)-ROW(D$15),0)</f>
        <v>Serviço</v>
      </c>
      <c r="E66" s="206" t="str">
        <f ca="1">OFFSET(ORÇAMENTO!O$15,ROW(E66)-ROW(E$15),0)</f>
        <v>1.5.10.</v>
      </c>
      <c r="F66" s="207" t="str">
        <f ca="1">OFFSET(ORÇAMENTO!R$15,ROW(F66)-ROW(F$15),0)</f>
        <v>ELETRODUTO RÍGIDO ROSCÁVEL, PVC, DN 25 MM (3/4"), PARA CIRCUITOS TERMINAIS, INSTALADO EM FORRO - FORNECIMENTO E INSTALAÇÃO. AF_12/2015</v>
      </c>
      <c r="G66" s="208" t="str">
        <f ca="1">IF($D66&lt;&gt;"Serviço","",OFFSET(ORÇAMENTO!S$15,ROW(G66)-ROW(G$15),0))</f>
        <v>M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20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(INSTALAÇÕES ELETRICAS)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41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6" t="str">
        <f ca="1">OFFSET(ORÇAMENTO!N$15,ROW(D67)-ROW(D$15),0)</f>
        <v>Serviço</v>
      </c>
      <c r="E67" s="206" t="str">
        <f ca="1">OFFSET(ORÇAMENTO!O$15,ROW(E67)-ROW(E$15),0)</f>
        <v>1.5.11.</v>
      </c>
      <c r="F67" s="207" t="str">
        <f ca="1">OFFSET(ORÇAMENTO!R$15,ROW(F67)-ROW(F$15),0)</f>
        <v>RASGO EM ALVENARIA PARA ELETRODUTOS COM DIAMETROS MENORES OU IGUAIS A 40 MM. AF_05/2015</v>
      </c>
      <c r="G67" s="208" t="str">
        <f ca="1">IF($D67&lt;&gt;"Serviço","",OFFSET(ORÇAMENTO!S$15,ROW(G67)-ROW(G$15),0))</f>
        <v>M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20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(INSTALAÇÕES ELETRICAS)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41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6" t="str">
        <f ca="1">OFFSET(ORÇAMENTO!N$15,ROW(D68)-ROW(D$15),0)</f>
        <v>Serviço</v>
      </c>
      <c r="E68" s="206" t="str">
        <f ca="1">OFFSET(ORÇAMENTO!O$15,ROW(E68)-ROW(E$15),0)</f>
        <v>1.5.12.</v>
      </c>
      <c r="F68" s="207" t="str">
        <f ca="1">OFFSET(ORÇAMENTO!R$15,ROW(F68)-ROW(F$15),0)</f>
        <v>ELETRODUTO PVC FLEXIVEL CORRUGADO, COR AMARELA, DE 20 MM</v>
      </c>
      <c r="G68" s="208" t="str">
        <f ca="1">IF($D68&lt;&gt;"Serviço","",OFFSET(ORÇAMENTO!S$15,ROW(G68)-ROW(G$15),0))</f>
        <v xml:space="preserve">M     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30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(INSTALAÇÕES ELETRICAS)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41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6" t="str">
        <f ca="1">OFFSET(ORÇAMENTO!N$15,ROW(D69)-ROW(D$15),0)</f>
        <v>Serviço</v>
      </c>
      <c r="E69" s="206" t="str">
        <f ca="1">OFFSET(ORÇAMENTO!O$15,ROW(E69)-ROW(E$15),0)</f>
        <v>1.5.13.</v>
      </c>
      <c r="F69" s="207" t="str">
        <f ca="1">OFFSET(ORÇAMENTO!R$15,ROW(F69)-ROW(F$15),0)</f>
        <v>DISJUNTOR MONOPOLAR TIPO DIN, CORRENTE NOMINAL DE 25A - FORNECIMENTO E INSTALAÇÃO. AF_04/2016</v>
      </c>
      <c r="G69" s="208" t="str">
        <f ca="1">IF($D69&lt;&gt;"Serviço","",OFFSET(ORÇAMENTO!S$15,ROW(G69)-ROW(G$15),0))</f>
        <v>UN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6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(INSTALAÇÕES ELETRICAS)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41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(INSTALAÇÕES ELETRICAS)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56.</v>
      </c>
      <c r="B71" s="9">
        <f ca="1">OFFSET(ORÇAMENTO!C$15,ROW(B71)-ROW(B$15),0)</f>
        <v>2</v>
      </c>
      <c r="C71" s="9" t="str">
        <f ca="1">OFFSET(ORÇAMENTO!L$15,ROW(C71)-ROW(C$15),0)</f>
        <v>F</v>
      </c>
      <c r="D71" s="146" t="str">
        <f ca="1">OFFSET(ORÇAMENTO!N$15,ROW(D71)-ROW(D$15),0)</f>
        <v>Nível 2</v>
      </c>
      <c r="E71" s="206" t="str">
        <f ca="1">OFFSET(ORÇAMENTO!O$15,ROW(E71)-ROW(E$15),0)</f>
        <v>1.6.</v>
      </c>
      <c r="F71" s="207" t="str">
        <f ca="1">OFFSET(ORÇAMENTO!R$15,ROW(F71)-ROW(F$15),0)</f>
        <v>(INSTALAÇÕES HIDRAULICAS)</v>
      </c>
      <c r="G71" s="208" t="str">
        <f ca="1">IF($D71&lt;&gt;"Serviço","",OFFSET(ORÇAMENTO!S$15,ROW(G71)-ROW(G$15),0))</f>
        <v/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 t="str">
        <f ca="1">IF($D71&lt;&gt;"Serviço","",IF(AUTOEVENTO="manual",$A71,IF(ISERROR(MATCH($A71,$A$15:OFFSET($A71,-1,0),0)),MAX($M$15:OFFSET(M71,-1,0))+1,INDEX($M$15:OFFSET(M71,-1,0),MATCH($A71,$A$15:OFFSET($A71,-1,0),0)))))</f>
        <v/>
      </c>
      <c r="N71" s="212" t="str">
        <f ca="1">IF($D71&lt;&gt;"Serviço","",IF(AUTOEVENTO="Manual",IF($A71=0,"&lt;-- defina o número do agrupador",OFFSET(EVENTOS!$D$14,$A71,0)),OFFSET($F$15,$A71,0)))</f>
        <v/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0</v>
      </c>
      <c r="AN71" s="216">
        <f ca="1">IF($D71&lt;&gt;"Serviço",0,IF(AND(AUTOEVENTO="Manual",$M71=1),0,IF(OFFSET(CRONOPLE!$F$14,$M71,AN$13)="",10^12,OFFSET(CRONOPLE!$F$14,$M71,AN$13))))</f>
        <v>0</v>
      </c>
      <c r="AO71" s="216">
        <f ca="1">IF($D71&lt;&gt;"Serviço",0,IF(AND(AUTOEVENTO="Manual",$M71=1),0,IF(OFFSET(CRONOPLE!$F$14,$M71,AO$13)="",10^12,OFFSET(CRONOPLE!$F$14,$M71,AO$13))))</f>
        <v>0</v>
      </c>
      <c r="AP71" s="216">
        <f ca="1">IF($D71&lt;&gt;"Serviço",0,IF(AND(AUTOEVENTO="Manual",$M71=1),0,IF(OFFSET(CRONOPLE!$F$14,$M71,AP$13)="",10^12,OFFSET(CRONOPLE!$F$14,$M71,AP$13))))</f>
        <v>0</v>
      </c>
      <c r="AQ71" s="216">
        <f ca="1">IF($D71&lt;&gt;"Serviço",0,IF(AND(AUTOEVENTO="Manual",$M71=1),0,IF(OFFSET(CRONOPLE!$F$14,$M71,AQ$13)="",10^12,OFFSET(CRONOPLE!$F$14,$M71,AQ$13))))</f>
        <v>0</v>
      </c>
      <c r="AR71" s="216">
        <f ca="1">IF($D71&lt;&gt;"Serviço",0,IF(AND(AUTOEVENTO="Manual",$M71=1),0,IF(OFFSET(CRONOPLE!$F$14,$M71,AR$13)="",10^12,OFFSET(CRONOPLE!$F$14,$M71,AR$13))))</f>
        <v>0</v>
      </c>
      <c r="AS71" s="216">
        <f ca="1">IF($D71&lt;&gt;"Serviço",0,IF(AND(AUTOEVENTO="Manual",$M71=1),0,IF(OFFSET(CRONOPLE!$F$14,$M71,AS$13)="",10^12,OFFSET(CRONOPLE!$F$14,$M71,AS$13))))</f>
        <v>0</v>
      </c>
      <c r="AT71" s="216">
        <f ca="1">IF($D71&lt;&gt;"Serviço",0,IF(AND(AUTOEVENTO="Manual",$M71=1),0,IF(OFFSET(CRONOPLE!$F$14,$M71,AT$13)="",10^12,OFFSET(CRONOPLE!$F$14,$M71,AT$13))))</f>
        <v>0</v>
      </c>
      <c r="AU71" s="216">
        <f ca="1">IF($D71&lt;&gt;"Serviço",0,IF(AND(AUTOEVENTO="Manual",$M71=1),0,IF(OFFSET(CRONOPLE!$F$14,$M71,AU$13)="",10^12,OFFSET(CRONOPLE!$F$14,$M71,AU$13))))</f>
        <v>0</v>
      </c>
      <c r="AV71" s="216">
        <f ca="1">IF($D71&lt;&gt;"Serviço",0,IF(AND(AUTOEVENTO="Manual",$M71=1),0,IF(OFFSET(CRONOPLE!$F$14,$M71,AV$13)="",10^12,OFFSET(CRONOPLE!$F$14,$M71,AV$13))))</f>
        <v>0</v>
      </c>
      <c r="AX71" s="217">
        <f ca="1">IF($D71&lt;&gt;"Serviço",0,IF(OR(AND(AUTOEVENTO="Manual",$M71=1),$M71&gt;(ROW(PLE.lastrow)-ROW(PLE.firstrow))),0,IF(OFFSET(PLE!$G$14,$M71,AX$13)="",10^12,OFFSET(PLE!$G$14,$M71,AX$13))))</f>
        <v>0</v>
      </c>
      <c r="AY71" s="217">
        <f ca="1">IF($D71&lt;&gt;"Serviço",0,IF(OR(AND(AUTOEVENTO="Manual",$M71=1),$M71&gt;(ROW(PLE.lastrow)-ROW(PLE.firstrow))),0,IF(OFFSET(PLE!$G$14,$M71,AY$13)="",10^12,OFFSET(PLE!$G$14,$M71,AY$13))))</f>
        <v>0</v>
      </c>
      <c r="AZ71" s="217">
        <f ca="1">IF($D71&lt;&gt;"Serviço",0,IF(OR(AND(AUTOEVENTO="Manual",$M71=1),$M71&gt;(ROW(PLE.lastrow)-ROW(PLE.firstrow))),0,IF(OFFSET(PLE!$G$14,$M71,AZ$13)="",10^12,OFFSET(PLE!$G$14,$M71,AZ$13))))</f>
        <v>0</v>
      </c>
      <c r="BA71" s="217">
        <f ca="1">IF($D71&lt;&gt;"Serviço",0,IF(OR(AND(AUTOEVENTO="Manual",$M71=1),$M71&gt;(ROW(PLE.lastrow)-ROW(PLE.firstrow))),0,IF(OFFSET(PLE!$G$14,$M71,BA$13)="",10^12,OFFSET(PLE!$G$14,$M71,BA$13))))</f>
        <v>0</v>
      </c>
      <c r="BB71" s="217">
        <f ca="1">IF($D71&lt;&gt;"Serviço",0,IF(OR(AND(AUTOEVENTO="Manual",$M71=1),$M71&gt;(ROW(PLE.lastrow)-ROW(PLE.firstrow))),0,IF(OFFSET(PLE!$G$14,$M71,BB$13)="",10^12,OFFSET(PLE!$G$14,$M71,BB$13))))</f>
        <v>0</v>
      </c>
      <c r="BC71" s="217">
        <f ca="1">IF($D71&lt;&gt;"Serviço",0,IF(OR(AND(AUTOEVENTO="Manual",$M71=1),$M71&gt;(ROW(PLE.lastrow)-ROW(PLE.firstrow))),0,IF(OFFSET(PLE!$G$14,$M71,BC$13)="",10^12,OFFSET(PLE!$G$14,$M71,BC$13))))</f>
        <v>0</v>
      </c>
      <c r="BD71" s="217">
        <f ca="1">IF($D71&lt;&gt;"Serviço",0,IF(OR(AND(AUTOEVENTO="Manual",$M71=1),$M71&gt;(ROW(PLE.lastrow)-ROW(PLE.firstrow))),0,IF(OFFSET(PLE!$G$14,$M71,BD$13)="",10^12,OFFSET(PLE!$G$14,$M71,BD$13))))</f>
        <v>0</v>
      </c>
      <c r="BE71" s="217">
        <f ca="1">IF($D71&lt;&gt;"Serviço",0,IF(OR(AND(AUTOEVENTO="Manual",$M71=1),$M71&gt;(ROW(PLE.lastrow)-ROW(PLE.firstrow))),0,IF(OFFSET(PLE!$G$14,$M71,BE$13)="",10^12,OFFSET(PLE!$G$14,$M71,BE$13))))</f>
        <v>0</v>
      </c>
      <c r="BF71" s="217">
        <f ca="1">IF($D71&lt;&gt;"Serviço",0,IF(OR(AND(AUTOEVENTO="Manual",$M71=1),$M71&gt;(ROW(PLE.lastrow)-ROW(PLE.firstrow))),0,IF(OFFSET(PLE!$G$14,$M71,BF$13)="",10^12,OFFSET(PLE!$G$14,$M71,BF$13))))</f>
        <v>0</v>
      </c>
      <c r="BG71" s="217">
        <f ca="1">IF($D71&lt;&gt;"Serviço",0,IF(OR(AND(AUTOEVENTO="Manual",$M71=1),$M71&gt;(ROW(PLE.lastrow)-ROW(PLE.firstrow))),0,IF(OFFSET(PLE!$G$14,$M71,BG$13)="",10^12,OFFSET(PLE!$G$14,$M71,BG$13))))</f>
        <v>0</v>
      </c>
    </row>
    <row r="72" spans="1:59" ht="12.75" x14ac:dyDescent="0.2">
      <c r="A72" s="9" t="str">
        <f t="shared" ca="1" si="8"/>
        <v>56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6" t="str">
        <f ca="1">OFFSET(ORÇAMENTO!N$15,ROW(D72)-ROW(D$15),0)</f>
        <v>Serviço</v>
      </c>
      <c r="E72" s="206" t="str">
        <f ca="1">OFFSET(ORÇAMENTO!O$15,ROW(E72)-ROW(E$15),0)</f>
        <v>1.6.1.</v>
      </c>
      <c r="F72" s="207" t="str">
        <f ca="1">OFFSET(ORÇAMENTO!R$15,ROW(F72)-ROW(F$15),0)</f>
        <v>TUBO PVC, SERIE NORMAL, ESGOTO PREDIAL, DN 100 MM, FORNECIDO E INSTALADO EM RAMAL DE DESCARGA OU RAMAL DE ESGOTO SANITÁRIO. AF_12/2014</v>
      </c>
      <c r="G72" s="208" t="str">
        <f ca="1">IF($D72&lt;&gt;"Serviço","",OFFSET(ORÇAMENTO!S$15,ROW(G72)-ROW(G$15),0))</f>
        <v>M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32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7</v>
      </c>
      <c r="N72" s="212" t="str">
        <f ca="1">IF($D72&lt;&gt;"Serviço","",IF(AUTOEVENTO="Manual",IF($A72=0,"&lt;-- defina o número do agrupador",OFFSET(EVENTOS!$D$14,$A72,0)),OFFSET($F$15,$A72,0)))</f>
        <v>(INSTALAÇÕES HIDRAULICAS)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56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6" t="str">
        <f ca="1">OFFSET(ORÇAMENTO!N$15,ROW(D73)-ROW(D$15),0)</f>
        <v>Serviço</v>
      </c>
      <c r="E73" s="206" t="str">
        <f ca="1">OFFSET(ORÇAMENTO!O$15,ROW(E73)-ROW(E$15),0)</f>
        <v>1.6.2.</v>
      </c>
      <c r="F73" s="207" t="str">
        <f ca="1">OFFSET(ORÇAMENTO!R$15,ROW(F73)-ROW(F$15),0)</f>
        <v>TUBO PVC, SOLDAVEL, DN 25 MM, AGUA FRIA (NBR-5648)</v>
      </c>
      <c r="G73" s="208" t="str">
        <f ca="1">IF($D73&lt;&gt;"Serviço","",OFFSET(ORÇAMENTO!S$15,ROW(G73)-ROW(G$15),0))</f>
        <v xml:space="preserve">M     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30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7</v>
      </c>
      <c r="N73" s="212" t="str">
        <f ca="1">IF($D73&lt;&gt;"Serviço","",IF(AUTOEVENTO="Manual",IF($A73=0,"&lt;-- defina o número do agrupador",OFFSET(EVENTOS!$D$14,$A73,0)),OFFSET($F$15,$A73,0)))</f>
        <v>(INSTALAÇÕES HIDRAULICAS)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56</v>
      </c>
      <c r="B74" s="9" t="str">
        <f ca="1">OFFSET(ORÇAMENTO!C$15,ROW(B74)-ROW(B$15),0)</f>
        <v>S</v>
      </c>
      <c r="C74" s="9" t="str">
        <f ca="1">OFFSET(ORÇAMENTO!L$15,ROW(C74)-ROW(C$15),0)</f>
        <v>F</v>
      </c>
      <c r="D74" s="146" t="str">
        <f ca="1">OFFSET(ORÇAMENTO!N$15,ROW(D74)-ROW(D$15),0)</f>
        <v>Serviço</v>
      </c>
      <c r="E74" s="206" t="str">
        <f ca="1">OFFSET(ORÇAMENTO!O$15,ROW(E74)-ROW(E$15),0)</f>
        <v>1.6.3.</v>
      </c>
      <c r="F74" s="207" t="str">
        <f ca="1">OFFSET(ORÇAMENTO!R$15,ROW(F74)-ROW(F$15),0)</f>
        <v>TUBO PVC, SERIE NORMAL, ESGOTO PREDIAL, DN 50 MM, FORNECIDO E INSTALADO EM RAMAL DE DESCARGA OU RAMAL DE ESGOTO SANITÁRIO. AF_12/2014</v>
      </c>
      <c r="G74" s="208" t="str">
        <f ca="1">IF($D74&lt;&gt;"Serviço","",OFFSET(ORÇAMENTO!S$15,ROW(G74)-ROW(G$15),0))</f>
        <v>M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6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7</v>
      </c>
      <c r="N74" s="212" t="str">
        <f ca="1">IF($D74&lt;&gt;"Serviço","",IF(AUTOEVENTO="Manual",IF($A74=0,"&lt;-- defina o número do agrupador",OFFSET(EVENTOS!$D$14,$A74,0)),OFFSET($F$15,$A74,0)))</f>
        <v>(INSTALAÇÕES HIDRAULICAS)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56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6" t="str">
        <f ca="1">OFFSET(ORÇAMENTO!N$15,ROW(D75)-ROW(D$15),0)</f>
        <v>Serviço</v>
      </c>
      <c r="E75" s="206" t="str">
        <f ca="1">OFFSET(ORÇAMENTO!O$15,ROW(E75)-ROW(E$15),0)</f>
        <v>1.6.4.</v>
      </c>
      <c r="F75" s="207" t="str">
        <f ca="1">OFFSET(ORÇAMENTO!R$15,ROW(F75)-ROW(F$15),0)</f>
        <v>CAIXA DE PASSAGEM 30X30X40 COM TAMPA E DRENO BRITA</v>
      </c>
      <c r="G75" s="208" t="str">
        <f ca="1">IF($D75&lt;&gt;"Serviço","",OFFSET(ORÇAMENTO!S$15,ROW(G75)-ROW(G$15),0))</f>
        <v>UN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7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7</v>
      </c>
      <c r="N75" s="212" t="str">
        <f ca="1">IF($D75&lt;&gt;"Serviço","",IF(AUTOEVENTO="Manual",IF($A75=0,"&lt;-- defina o número do agrupador",OFFSET(EVENTOS!$D$14,$A75,0)),OFFSET($F$15,$A75,0)))</f>
        <v>(INSTALAÇÕES HIDRAULICAS)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56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6" t="str">
        <f ca="1">OFFSET(ORÇAMENTO!N$15,ROW(D76)-ROW(D$15),0)</f>
        <v>Serviço</v>
      </c>
      <c r="E76" s="206" t="str">
        <f ca="1">OFFSET(ORÇAMENTO!O$15,ROW(E76)-ROW(E$15),0)</f>
        <v>1.6.5.</v>
      </c>
      <c r="F76" s="207" t="str">
        <f ca="1">OFFSET(ORÇAMENTO!R$15,ROW(F76)-ROW(F$15),0)</f>
        <v>BACIA SANITARIA (VASO) COM CAIXA ACOPLADA, DE LOUCA BRANCA</v>
      </c>
      <c r="G76" s="208" t="str">
        <f ca="1">IF($D76&lt;&gt;"Serviço","",OFFSET(ORÇAMENTO!S$15,ROW(G76)-ROW(G$15),0))</f>
        <v xml:space="preserve">UN    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1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7</v>
      </c>
      <c r="N76" s="212" t="str">
        <f ca="1">IF($D76&lt;&gt;"Serviço","",IF(AUTOEVENTO="Manual",IF($A76=0,"&lt;-- defina o número do agrupador",OFFSET(EVENTOS!$D$14,$A76,0)),OFFSET($F$15,$A76,0)))</f>
        <v>(INSTALAÇÕES HIDRAULICAS)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56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6" t="str">
        <f ca="1">OFFSET(ORÇAMENTO!N$15,ROW(D77)-ROW(D$15),0)</f>
        <v>Serviço</v>
      </c>
      <c r="E77" s="206" t="str">
        <f ca="1">OFFSET(ORÇAMENTO!O$15,ROW(E77)-ROW(E$15),0)</f>
        <v>1.6.6.</v>
      </c>
      <c r="F77" s="207" t="str">
        <f ca="1">OFFSET(ORÇAMENTO!R$15,ROW(F77)-ROW(F$15),0)</f>
        <v>CAIXA SIFONADA, PVC, DN 100 X 100 X 50 MM, JUNTA ELÁSTICA, FORNECIDA E INSTALADA EM RAMAL DE DESCARGA OU EM RAMAL DE ESGOTO SANITÁRIO. AF_12/2014</v>
      </c>
      <c r="G77" s="208" t="str">
        <f ca="1">IF($D77&lt;&gt;"Serviço","",OFFSET(ORÇAMENTO!S$15,ROW(G77)-ROW(G$15),0))</f>
        <v>UN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4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7</v>
      </c>
      <c r="N77" s="212" t="str">
        <f ca="1">IF($D77&lt;&gt;"Serviço","",IF(AUTOEVENTO="Manual",IF($A77=0,"&lt;-- defina o número do agrupador",OFFSET(EVENTOS!$D$14,$A77,0)),OFFSET($F$15,$A77,0)))</f>
        <v>(INSTALAÇÕES HIDRAULICAS)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56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6" t="str">
        <f ca="1">OFFSET(ORÇAMENTO!N$15,ROW(D78)-ROW(D$15),0)</f>
        <v>Serviço</v>
      </c>
      <c r="E78" s="206" t="str">
        <f ca="1">OFFSET(ORÇAMENTO!O$15,ROW(E78)-ROW(E$15),0)</f>
        <v>1.6.7.</v>
      </c>
      <c r="F78" s="207" t="str">
        <f ca="1">OFFSET(ORÇAMENTO!R$15,ROW(F78)-ROW(F$15),0)</f>
        <v>TE, PVC, SOLDÁVEL, DN 25MM, INSTALADO EM RAMAL DE DISTRIBUIÇÃO DE ÁGUA - FORNECIMENTO E INSTALAÇÃO. AF_12/2014</v>
      </c>
      <c r="G78" s="208" t="str">
        <f ca="1">IF($D78&lt;&gt;"Serviço","",OFFSET(ORÇAMENTO!S$15,ROW(G78)-ROW(G$15),0))</f>
        <v>UN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10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7</v>
      </c>
      <c r="N78" s="212" t="str">
        <f ca="1">IF($D78&lt;&gt;"Serviço","",IF(AUTOEVENTO="Manual",IF($A78=0,"&lt;-- defina o número do agrupador",OFFSET(EVENTOS!$D$14,$A78,0)),OFFSET($F$15,$A78,0)))</f>
        <v>(INSTALAÇÕES HIDRAULICAS)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56</v>
      </c>
      <c r="B79" s="9" t="str">
        <f ca="1">OFFSET(ORÇAMENTO!C$15,ROW(B79)-ROW(B$15),0)</f>
        <v>S</v>
      </c>
      <c r="C79" s="9" t="str">
        <f ca="1">OFFSET(ORÇAMENTO!L$15,ROW(C79)-ROW(C$15),0)</f>
        <v>F</v>
      </c>
      <c r="D79" s="146" t="str">
        <f ca="1">OFFSET(ORÇAMENTO!N$15,ROW(D79)-ROW(D$15),0)</f>
        <v>Serviço</v>
      </c>
      <c r="E79" s="206" t="str">
        <f ca="1">OFFSET(ORÇAMENTO!O$15,ROW(E79)-ROW(E$15),0)</f>
        <v>1.6.8.</v>
      </c>
      <c r="F79" s="207" t="str">
        <f ca="1">OFFSET(ORÇAMENTO!R$15,ROW(F79)-ROW(F$15),0)</f>
        <v>JOELHO 90 GRAUS, PVC, SERIE NORMAL, ESGOTO PREDIAL, DN 100 MM, JUNTA ELÁSTICA, FORNECIDO E INSTALADO EM RAMAL DE DESCARGA OU RAMAL DE ESGOTO SANITÁRIO. AF_12/2014</v>
      </c>
      <c r="G79" s="208" t="str">
        <f ca="1">IF($D79&lt;&gt;"Serviço","",OFFSET(ORÇAMENTO!S$15,ROW(G79)-ROW(G$15),0))</f>
        <v>UN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14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7</v>
      </c>
      <c r="N79" s="212" t="str">
        <f ca="1">IF($D79&lt;&gt;"Serviço","",IF(AUTOEVENTO="Manual",IF($A79=0,"&lt;-- defina o número do agrupador",OFFSET(EVENTOS!$D$14,$A79,0)),OFFSET($F$15,$A79,0)))</f>
        <v>(INSTALAÇÕES HIDRAULICAS)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56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1.6.9.</v>
      </c>
      <c r="F80" s="207" t="str">
        <f ca="1">OFFSET(ORÇAMENTO!R$15,ROW(F80)-ROW(F$15),0)</f>
        <v>JOELHO 90 GRAUS, PVC, SOLDÁVEL, DN 25MM, INSTALADO EM RAMAL OU SUB-RAMAL DE ÁGUA - FORNECIMENTO E INSTALAÇÃO. AF_12/2014</v>
      </c>
      <c r="G80" s="208" t="str">
        <f ca="1">IF($D80&lt;&gt;"Serviço","",OFFSET(ORÇAMENTO!S$15,ROW(G80)-ROW(G$15),0))</f>
        <v>UN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14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7</v>
      </c>
      <c r="N80" s="212" t="str">
        <f ca="1">IF($D80&lt;&gt;"Serviço","",IF(AUTOEVENTO="Manual",IF($A80=0,"&lt;-- defina o número do agrupador",OFFSET(EVENTOS!$D$14,$A80,0)),OFFSET($F$15,$A80,0)))</f>
        <v>(INSTALAÇÕES HIDRAULICAS)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56</v>
      </c>
      <c r="B81" s="9" t="str">
        <f ca="1">OFFSET(ORÇAMENTO!C$15,ROW(B81)-ROW(B$15),0)</f>
        <v>S</v>
      </c>
      <c r="C81" s="9" t="str">
        <f ca="1">OFFSET(ORÇAMENTO!L$15,ROW(C81)-ROW(C$15),0)</f>
        <v>F</v>
      </c>
      <c r="D81" s="146" t="str">
        <f ca="1">OFFSET(ORÇAMENTO!N$15,ROW(D81)-ROW(D$15),0)</f>
        <v>Serviço</v>
      </c>
      <c r="E81" s="206" t="str">
        <f ca="1">OFFSET(ORÇAMENTO!O$15,ROW(E81)-ROW(E$15),0)</f>
        <v>1.6.10.</v>
      </c>
      <c r="F81" s="207" t="str">
        <f ca="1">OFFSET(ORÇAMENTO!R$15,ROW(F81)-ROW(F$15),0)</f>
        <v>TORNEIRA CROMADA DE MESA, 1/2 OU 3/4, PARA LAVATÓRIO, PADRÃO POPULAR - FORNECIMENTO E INSTALAÇÃO. AF_01/2020</v>
      </c>
      <c r="G81" s="208" t="str">
        <f ca="1">IF($D81&lt;&gt;"Serviço","",OFFSET(ORÇAMENTO!S$15,ROW(G81)-ROW(G$15),0))</f>
        <v>UN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5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7</v>
      </c>
      <c r="N81" s="212" t="str">
        <f ca="1">IF($D81&lt;&gt;"Serviço","",IF(AUTOEVENTO="Manual",IF($A81=0,"&lt;-- defina o número do agrupador",OFFSET(EVENTOS!$D$14,$A81,0)),OFFSET($F$15,$A81,0)))</f>
        <v>(INSTALAÇÕES HIDRAULICAS)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56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1.6.11.</v>
      </c>
      <c r="F82" s="207" t="str">
        <f ca="1">OFFSET(ORÇAMENTO!R$15,ROW(F82)-ROW(F$15),0)</f>
        <v>REGISTRO DE GAVETA BRUTO, LATÃO, ROSCÁVEL, 3/4", FORNECIDO E INSTALADO EM RAMAL DE ÁGUA. AF_12/2014</v>
      </c>
      <c r="G82" s="208" t="str">
        <f ca="1">IF($D82&lt;&gt;"Serviço","",OFFSET(ORÇAMENTO!S$15,ROW(G82)-ROW(G$15),0))</f>
        <v>UN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4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7</v>
      </c>
      <c r="N82" s="212" t="str">
        <f ca="1">IF($D82&lt;&gt;"Serviço","",IF(AUTOEVENTO="Manual",IF($A82=0,"&lt;-- defina o número do agrupador",OFFSET(EVENTOS!$D$14,$A82,0)),OFFSET($F$15,$A82,0)))</f>
        <v>(INSTALAÇÕES HIDRAULICAS)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56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6" t="str">
        <f ca="1">OFFSET(ORÇAMENTO!N$15,ROW(D83)-ROW(D$15),0)</f>
        <v>Serviço</v>
      </c>
      <c r="E83" s="206" t="str">
        <f ca="1">OFFSET(ORÇAMENTO!O$15,ROW(E83)-ROW(E$15),0)</f>
        <v>1.6.12.</v>
      </c>
      <c r="F83" s="207" t="str">
        <f ca="1">OFFSET(ORÇAMENTO!R$15,ROW(F83)-ROW(F$15),0)</f>
        <v>RALO SIFONADO, PVC, DN 100 X 40 MM, JUNTA SOLDÁVEL, FORNECIDO E INSTALADO EM RAMAL DE DESCARGA OU EM RAMAL DE ESGOTO SANITÁRIO. AF_12/2014</v>
      </c>
      <c r="G83" s="208" t="str">
        <f ca="1">IF($D83&lt;&gt;"Serviço","",OFFSET(ORÇAMENTO!S$15,ROW(G83)-ROW(G$15),0))</f>
        <v>UN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2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7</v>
      </c>
      <c r="N83" s="212" t="str">
        <f ca="1">IF($D83&lt;&gt;"Serviço","",IF(AUTOEVENTO="Manual",IF($A83=0,"&lt;-- defina o número do agrupador",OFFSET(EVENTOS!$D$14,$A83,0)),OFFSET($F$15,$A83,0)))</f>
        <v>(INSTALAÇÕES HIDRAULICAS)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56</v>
      </c>
      <c r="B84" s="9" t="str">
        <f ca="1">OFFSET(ORÇAMENTO!C$15,ROW(B84)-ROW(B$15),0)</f>
        <v>S</v>
      </c>
      <c r="C84" s="9" t="str">
        <f ca="1">OFFSET(ORÇAMENTO!L$15,ROW(C84)-ROW(C$15),0)</f>
        <v>F</v>
      </c>
      <c r="D84" s="146" t="str">
        <f ca="1">OFFSET(ORÇAMENTO!N$15,ROW(D84)-ROW(D$15),0)</f>
        <v>Serviço</v>
      </c>
      <c r="E84" s="206" t="str">
        <f ca="1">OFFSET(ORÇAMENTO!O$15,ROW(E84)-ROW(E$15),0)</f>
        <v>1.6.13.</v>
      </c>
      <c r="F84" s="207" t="str">
        <f ca="1">OFFSET(ORÇAMENTO!R$15,ROW(F84)-ROW(F$15),0)</f>
        <v>CHUVEIRO COMUM EM PLASTICO BRANCO, COM CANO, 3 TEMPERATURAS, 5500 W (110/220 V)</v>
      </c>
      <c r="G84" s="208" t="str">
        <f ca="1">IF($D84&lt;&gt;"Serviço","",OFFSET(ORÇAMENTO!S$15,ROW(G84)-ROW(G$15),0))</f>
        <v xml:space="preserve">UN    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1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7</v>
      </c>
      <c r="N84" s="212" t="str">
        <f ca="1">IF($D84&lt;&gt;"Serviço","",IF(AUTOEVENTO="Manual",IF($A84=0,"&lt;-- defina o número do agrupador",OFFSET(EVENTOS!$D$14,$A84,0)),OFFSET($F$15,$A84,0)))</f>
        <v>(INSTALAÇÕES HIDRAULICAS)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56</v>
      </c>
      <c r="B85" s="9" t="str">
        <f ca="1">OFFSET(ORÇAMENTO!C$15,ROW(B85)-ROW(B$15),0)</f>
        <v>S</v>
      </c>
      <c r="C85" s="9" t="str">
        <f ca="1">OFFSET(ORÇAMENTO!L$15,ROW(C85)-ROW(C$15),0)</f>
        <v>F</v>
      </c>
      <c r="D85" s="146" t="str">
        <f ca="1">OFFSET(ORÇAMENTO!N$15,ROW(D85)-ROW(D$15),0)</f>
        <v>Serviço</v>
      </c>
      <c r="E85" s="206" t="str">
        <f ca="1">OFFSET(ORÇAMENTO!O$15,ROW(E85)-ROW(E$15),0)</f>
        <v>1.6.14.</v>
      </c>
      <c r="F85" s="207" t="str">
        <f ca="1">OFFSET(ORÇAMENTO!R$15,ROW(F85)-ROW(F$15),0)</f>
        <v>SABONETEIRA PLASTICA TIPO DISPENSER PARA SABONETE LIQUIDO COM RESERVATORIO 800 A 1500 ML</v>
      </c>
      <c r="G85" s="208" t="str">
        <f ca="1">IF($D85&lt;&gt;"Serviço","",OFFSET(ORÇAMENTO!S$15,ROW(G85)-ROW(G$15),0))</f>
        <v xml:space="preserve">UN    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1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7</v>
      </c>
      <c r="N85" s="212" t="str">
        <f ca="1">IF($D85&lt;&gt;"Serviço","",IF(AUTOEVENTO="Manual",IF($A85=0,"&lt;-- defina o número do agrupador",OFFSET(EVENTOS!$D$14,$A85,0)),OFFSET($F$15,$A85,0)))</f>
        <v>(INSTALAÇÕES HIDRAULICAS)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56</v>
      </c>
      <c r="B86" s="9" t="str">
        <f ca="1">OFFSET(ORÇAMENTO!C$15,ROW(B86)-ROW(B$15),0)</f>
        <v>S</v>
      </c>
      <c r="C86" s="9" t="str">
        <f ca="1">OFFSET(ORÇAMENTO!L$15,ROW(C86)-ROW(C$15),0)</f>
        <v>F</v>
      </c>
      <c r="D86" s="146" t="str">
        <f ca="1">OFFSET(ORÇAMENTO!N$15,ROW(D86)-ROW(D$15),0)</f>
        <v>Serviço</v>
      </c>
      <c r="E86" s="206" t="str">
        <f ca="1">OFFSET(ORÇAMENTO!O$15,ROW(E86)-ROW(E$15),0)</f>
        <v>1.6.15.</v>
      </c>
      <c r="F86" s="207" t="str">
        <f ca="1">OFFSET(ORÇAMENTO!R$15,ROW(F86)-ROW(F$15),0)</f>
        <v>CAIXA D'AGUA EM POLIETILENO 500 LITROS, COM TAMPA</v>
      </c>
      <c r="G86" s="208" t="str">
        <f ca="1">IF($D86&lt;&gt;"Serviço","",OFFSET(ORÇAMENTO!S$15,ROW(G86)-ROW(G$15),0))</f>
        <v xml:space="preserve">UN    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1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7</v>
      </c>
      <c r="N86" s="212" t="str">
        <f ca="1">IF($D86&lt;&gt;"Serviço","",IF(AUTOEVENTO="Manual",IF($A86=0,"&lt;-- defina o número do agrupador",OFFSET(EVENTOS!$D$14,$A86,0)),OFFSET($F$15,$A86,0)))</f>
        <v>(INSTALAÇÕES HIDRAULICAS)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56</v>
      </c>
      <c r="B87" s="9" t="str">
        <f ca="1">OFFSET(ORÇAMENTO!C$15,ROW(B87)-ROW(B$15),0)</f>
        <v>S</v>
      </c>
      <c r="C87" s="9" t="str">
        <f ca="1">OFFSET(ORÇAMENTO!L$15,ROW(C87)-ROW(C$15),0)</f>
        <v>F</v>
      </c>
      <c r="D87" s="146" t="str">
        <f ca="1">OFFSET(ORÇAMENTO!N$15,ROW(D87)-ROW(D$15),0)</f>
        <v>Serviço</v>
      </c>
      <c r="E87" s="206" t="str">
        <f ca="1">OFFSET(ORÇAMENTO!O$15,ROW(E87)-ROW(E$15),0)</f>
        <v>1.6.16.</v>
      </c>
      <c r="F87" s="207" t="str">
        <f ca="1">OFFSET(ORÇAMENTO!R$15,ROW(F87)-ROW(F$15),0)</f>
        <v>LAVATORIO LOUCA BRANCA COM COLUNA *44 X 35,5* CM</v>
      </c>
      <c r="G87" s="208" t="str">
        <f ca="1">IF($D87&lt;&gt;"Serviço","",OFFSET(ORÇAMENTO!S$15,ROW(G87)-ROW(G$15),0))</f>
        <v xml:space="preserve">UN    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1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7</v>
      </c>
      <c r="N87" s="212" t="str">
        <f ca="1">IF($D87&lt;&gt;"Serviço","",IF(AUTOEVENTO="Manual",IF($A87=0,"&lt;-- defina o número do agrupador",OFFSET(EVENTOS!$D$14,$A87,0)),OFFSET($F$15,$A87,0)))</f>
        <v>(INSTALAÇÕES HIDRAULICAS)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56</v>
      </c>
      <c r="B88" s="9" t="str">
        <f ca="1">OFFSET(ORÇAMENTO!C$15,ROW(B88)-ROW(B$15),0)</f>
        <v>S</v>
      </c>
      <c r="C88" s="9" t="str">
        <f ca="1">OFFSET(ORÇAMENTO!L$15,ROW(C88)-ROW(C$15),0)</f>
        <v>F</v>
      </c>
      <c r="D88" s="146" t="str">
        <f ca="1">OFFSET(ORÇAMENTO!N$15,ROW(D88)-ROW(D$15),0)</f>
        <v>Serviço</v>
      </c>
      <c r="E88" s="206" t="str">
        <f ca="1">OFFSET(ORÇAMENTO!O$15,ROW(E88)-ROW(E$15),0)</f>
        <v>1.6.17.</v>
      </c>
      <c r="F88" s="207" t="str">
        <f ca="1">OFFSET(ORÇAMENTO!R$15,ROW(F88)-ROW(F$15),0)</f>
        <v>TANQUE SIMPLES EM MARMORE SINTETICO SUSPENSO, CAPACIDADE *38* L, *60 X 60* CM</v>
      </c>
      <c r="G88" s="208" t="str">
        <f ca="1">IF($D88&lt;&gt;"Serviço","",OFFSET(ORÇAMENTO!S$15,ROW(G88)-ROW(G$15),0))</f>
        <v xml:space="preserve">UN    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2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7</v>
      </c>
      <c r="N88" s="212" t="str">
        <f ca="1">IF($D88&lt;&gt;"Serviço","",IF(AUTOEVENTO="Manual",IF($A88=0,"&lt;-- defina o número do agrupador",OFFSET(EVENTOS!$D$14,$A88,0)),OFFSET($F$15,$A88,0)))</f>
        <v>(INSTALAÇÕES HIDRAULICAS)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56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7</v>
      </c>
      <c r="N89" s="212" t="str">
        <f ca="1">IF($D89&lt;&gt;"Serviço","",IF(AUTOEVENTO="Manual",IF($A89=0,"&lt;-- defina o número do agrupador",OFFSET(EVENTOS!$D$14,$A89,0)),OFFSET($F$15,$A89,0)))</f>
        <v>(INSTALAÇÕES HIDRAULICAS)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56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7</v>
      </c>
      <c r="N90" s="212" t="str">
        <f ca="1">IF($D90&lt;&gt;"Serviço","",IF(AUTOEVENTO="Manual",IF($A90=0,"&lt;-- defina o número do agrupador",OFFSET(EVENTOS!$D$14,$A90,0)),OFFSET($F$15,$A90,0)))</f>
        <v>(INSTALAÇÕES HIDRAULICAS)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76.</v>
      </c>
      <c r="B91" s="9">
        <f ca="1">OFFSET(ORÇAMENTO!C$15,ROW(B91)-ROW(B$15),0)</f>
        <v>1</v>
      </c>
      <c r="C91" s="9" t="str">
        <f ca="1">OFFSET(ORÇAMENTO!L$15,ROW(C91)-ROW(C$15),0)</f>
        <v>F</v>
      </c>
      <c r="D91" s="146" t="str">
        <f ca="1">OFFSET(ORÇAMENTO!N$15,ROW(D91)-ROW(D$15),0)</f>
        <v>Meta</v>
      </c>
      <c r="E91" s="206" t="str">
        <f ca="1">OFFSET(ORÇAMENTO!O$15,ROW(E91)-ROW(E$15),0)</f>
        <v>2.</v>
      </c>
      <c r="F91" s="207" t="str">
        <f ca="1">OFFSET(ORÇAMENTO!R$15,ROW(F91)-ROW(F$15),0)</f>
        <v>(SALA DE AULA)</v>
      </c>
      <c r="G91" s="208" t="str">
        <f ca="1">IF($D91&lt;&gt;"Serviço","",OFFSET(ORÇAMENTO!S$15,ROW(G91)-ROW(G$15),0))</f>
        <v/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 t="str">
        <f ca="1">IF($D91&lt;&gt;"Serviço","",IF(AUTOEVENTO="manual",$A91,IF(ISERROR(MATCH($A91,$A$15:OFFSET($A91,-1,0),0)),MAX($M$15:OFFSET(M91,-1,0))+1,INDEX($M$15:OFFSET(M91,-1,0),MATCH($A91,$A$15:OFFSET($A91,-1,0),0)))))</f>
        <v/>
      </c>
      <c r="N91" s="212" t="str">
        <f ca="1">IF($D91&lt;&gt;"Serviço","",IF(AUTOEVENTO="Manual",IF($A91=0,"&lt;-- defina o número do agrupador",OFFSET(EVENTOS!$D$14,$A91,0)),OFFSET($F$15,$A91,0)))</f>
        <v/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0</v>
      </c>
      <c r="AN91" s="216">
        <f ca="1">IF($D91&lt;&gt;"Serviço",0,IF(AND(AUTOEVENTO="Manual",$M91=1),0,IF(OFFSET(CRONOPLE!$F$14,$M91,AN$13)="",10^12,OFFSET(CRONOPLE!$F$14,$M91,AN$13))))</f>
        <v>0</v>
      </c>
      <c r="AO91" s="216">
        <f ca="1">IF($D91&lt;&gt;"Serviço",0,IF(AND(AUTOEVENTO="Manual",$M91=1),0,IF(OFFSET(CRONOPLE!$F$14,$M91,AO$13)="",10^12,OFFSET(CRONOPLE!$F$14,$M91,AO$13))))</f>
        <v>0</v>
      </c>
      <c r="AP91" s="216">
        <f ca="1">IF($D91&lt;&gt;"Serviço",0,IF(AND(AUTOEVENTO="Manual",$M91=1),0,IF(OFFSET(CRONOPLE!$F$14,$M91,AP$13)="",10^12,OFFSET(CRONOPLE!$F$14,$M91,AP$13))))</f>
        <v>0</v>
      </c>
      <c r="AQ91" s="216">
        <f ca="1">IF($D91&lt;&gt;"Serviço",0,IF(AND(AUTOEVENTO="Manual",$M91=1),0,IF(OFFSET(CRONOPLE!$F$14,$M91,AQ$13)="",10^12,OFFSET(CRONOPLE!$F$14,$M91,AQ$13))))</f>
        <v>0</v>
      </c>
      <c r="AR91" s="216">
        <f ca="1">IF($D91&lt;&gt;"Serviço",0,IF(AND(AUTOEVENTO="Manual",$M91=1),0,IF(OFFSET(CRONOPLE!$F$14,$M91,AR$13)="",10^12,OFFSET(CRONOPLE!$F$14,$M91,AR$13))))</f>
        <v>0</v>
      </c>
      <c r="AS91" s="216">
        <f ca="1">IF($D91&lt;&gt;"Serviço",0,IF(AND(AUTOEVENTO="Manual",$M91=1),0,IF(OFFSET(CRONOPLE!$F$14,$M91,AS$13)="",10^12,OFFSET(CRONOPLE!$F$14,$M91,AS$13))))</f>
        <v>0</v>
      </c>
      <c r="AT91" s="216">
        <f ca="1">IF($D91&lt;&gt;"Serviço",0,IF(AND(AUTOEVENTO="Manual",$M91=1),0,IF(OFFSET(CRONOPLE!$F$14,$M91,AT$13)="",10^12,OFFSET(CRONOPLE!$F$14,$M91,AT$13))))</f>
        <v>0</v>
      </c>
      <c r="AU91" s="216">
        <f ca="1">IF($D91&lt;&gt;"Serviço",0,IF(AND(AUTOEVENTO="Manual",$M91=1),0,IF(OFFSET(CRONOPLE!$F$14,$M91,AU$13)="",10^12,OFFSET(CRONOPLE!$F$14,$M91,AU$13))))</f>
        <v>0</v>
      </c>
      <c r="AV91" s="216">
        <f ca="1">IF($D91&lt;&gt;"Serviço",0,IF(AND(AUTOEVENTO="Manual",$M91=1),0,IF(OFFSET(CRONOPLE!$F$14,$M91,AV$13)="",10^12,OFFSET(CRONOPLE!$F$14,$M91,AV$13))))</f>
        <v>0</v>
      </c>
      <c r="AX91" s="217">
        <f ca="1">IF($D91&lt;&gt;"Serviço",0,IF(OR(AND(AUTOEVENTO="Manual",$M91=1),$M91&gt;(ROW(PLE.lastrow)-ROW(PLE.firstrow))),0,IF(OFFSET(PLE!$G$14,$M91,AX$13)="",10^12,OFFSET(PLE!$G$14,$M91,AX$13))))</f>
        <v>0</v>
      </c>
      <c r="AY91" s="217">
        <f ca="1">IF($D91&lt;&gt;"Serviço",0,IF(OR(AND(AUTOEVENTO="Manual",$M91=1),$M91&gt;(ROW(PLE.lastrow)-ROW(PLE.firstrow))),0,IF(OFFSET(PLE!$G$14,$M91,AY$13)="",10^12,OFFSET(PLE!$G$14,$M91,AY$13))))</f>
        <v>0</v>
      </c>
      <c r="AZ91" s="217">
        <f ca="1">IF($D91&lt;&gt;"Serviço",0,IF(OR(AND(AUTOEVENTO="Manual",$M91=1),$M91&gt;(ROW(PLE.lastrow)-ROW(PLE.firstrow))),0,IF(OFFSET(PLE!$G$14,$M91,AZ$13)="",10^12,OFFSET(PLE!$G$14,$M91,AZ$13))))</f>
        <v>0</v>
      </c>
      <c r="BA91" s="217">
        <f ca="1">IF($D91&lt;&gt;"Serviço",0,IF(OR(AND(AUTOEVENTO="Manual",$M91=1),$M91&gt;(ROW(PLE.lastrow)-ROW(PLE.firstrow))),0,IF(OFFSET(PLE!$G$14,$M91,BA$13)="",10^12,OFFSET(PLE!$G$14,$M91,BA$13))))</f>
        <v>0</v>
      </c>
      <c r="BB91" s="217">
        <f ca="1">IF($D91&lt;&gt;"Serviço",0,IF(OR(AND(AUTOEVENTO="Manual",$M91=1),$M91&gt;(ROW(PLE.lastrow)-ROW(PLE.firstrow))),0,IF(OFFSET(PLE!$G$14,$M91,BB$13)="",10^12,OFFSET(PLE!$G$14,$M91,BB$13))))</f>
        <v>0</v>
      </c>
      <c r="BC91" s="217">
        <f ca="1">IF($D91&lt;&gt;"Serviço",0,IF(OR(AND(AUTOEVENTO="Manual",$M91=1),$M91&gt;(ROW(PLE.lastrow)-ROW(PLE.firstrow))),0,IF(OFFSET(PLE!$G$14,$M91,BC$13)="",10^12,OFFSET(PLE!$G$14,$M91,BC$13))))</f>
        <v>0</v>
      </c>
      <c r="BD91" s="217">
        <f ca="1">IF($D91&lt;&gt;"Serviço",0,IF(OR(AND(AUTOEVENTO="Manual",$M91=1),$M91&gt;(ROW(PLE.lastrow)-ROW(PLE.firstrow))),0,IF(OFFSET(PLE!$G$14,$M91,BD$13)="",10^12,OFFSET(PLE!$G$14,$M91,BD$13))))</f>
        <v>0</v>
      </c>
      <c r="BE91" s="217">
        <f ca="1">IF($D91&lt;&gt;"Serviço",0,IF(OR(AND(AUTOEVENTO="Manual",$M91=1),$M91&gt;(ROW(PLE.lastrow)-ROW(PLE.firstrow))),0,IF(OFFSET(PLE!$G$14,$M91,BE$13)="",10^12,OFFSET(PLE!$G$14,$M91,BE$13))))</f>
        <v>0</v>
      </c>
      <c r="BF91" s="217">
        <f ca="1">IF($D91&lt;&gt;"Serviço",0,IF(OR(AND(AUTOEVENTO="Manual",$M91=1),$M91&gt;(ROW(PLE.lastrow)-ROW(PLE.firstrow))),0,IF(OFFSET(PLE!$G$14,$M91,BF$13)="",10^12,OFFSET(PLE!$G$14,$M91,BF$13))))</f>
        <v>0</v>
      </c>
      <c r="BG91" s="217">
        <f ca="1">IF($D91&lt;&gt;"Serviço",0,IF(OR(AND(AUTOEVENTO="Manual",$M91=1),$M91&gt;(ROW(PLE.lastrow)-ROW(PLE.firstrow))),0,IF(OFFSET(PLE!$G$14,$M91,BG$13)="",10^12,OFFSET(PLE!$G$14,$M91,BG$13))))</f>
        <v>0</v>
      </c>
    </row>
    <row r="92" spans="1:59" ht="12.75" x14ac:dyDescent="0.2">
      <c r="A92" s="9" t="str">
        <f t="shared" ca="1" si="9"/>
        <v>77.</v>
      </c>
      <c r="B92" s="9">
        <f ca="1">OFFSET(ORÇAMENTO!C$15,ROW(B92)-ROW(B$15),0)</f>
        <v>2</v>
      </c>
      <c r="C92" s="9" t="str">
        <f ca="1">OFFSET(ORÇAMENTO!L$15,ROW(C92)-ROW(C$15),0)</f>
        <v>F</v>
      </c>
      <c r="D92" s="146" t="str">
        <f ca="1">OFFSET(ORÇAMENTO!N$15,ROW(D92)-ROW(D$15),0)</f>
        <v>Nível 2</v>
      </c>
      <c r="E92" s="206" t="str">
        <f ca="1">OFFSET(ORÇAMENTO!O$15,ROW(E92)-ROW(E$15),0)</f>
        <v>2.1.</v>
      </c>
      <c r="F92" s="207" t="str">
        <f ca="1">OFFSET(ORÇAMENTO!R$15,ROW(F92)-ROW(F$15),0)</f>
        <v>(FUNDAÇÕES RASAS , VIGAS , PILARES, VIGAS BALDRAME)</v>
      </c>
      <c r="G92" s="208" t="str">
        <f ca="1">IF($D92&lt;&gt;"Serviço","",OFFSET(ORÇAMENTO!S$15,ROW(G92)-ROW(G$15),0))</f>
        <v/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 t="str">
        <f ca="1">IF($D92&lt;&gt;"Serviço","",IF(AUTOEVENTO="manual",$A92,IF(ISERROR(MATCH($A92,$A$15:OFFSET($A92,-1,0),0)),MAX($M$15:OFFSET(M92,-1,0))+1,INDEX($M$15:OFFSET(M92,-1,0),MATCH($A92,$A$15:OFFSET($A92,-1,0),0)))))</f>
        <v/>
      </c>
      <c r="N92" s="212" t="str">
        <f ca="1">IF($D92&lt;&gt;"Serviço","",IF(AUTOEVENTO="Manual",IF($A92=0,"&lt;-- defina o número do agrupador",OFFSET(EVENTOS!$D$14,$A92,0)),OFFSET($F$15,$A92,0)))</f>
        <v/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0</v>
      </c>
      <c r="AN92" s="216">
        <f ca="1">IF($D92&lt;&gt;"Serviço",0,IF(AND(AUTOEVENTO="Manual",$M92=1),0,IF(OFFSET(CRONOPLE!$F$14,$M92,AN$13)="",10^12,OFFSET(CRONOPLE!$F$14,$M92,AN$13))))</f>
        <v>0</v>
      </c>
      <c r="AO92" s="216">
        <f ca="1">IF($D92&lt;&gt;"Serviço",0,IF(AND(AUTOEVENTO="Manual",$M92=1),0,IF(OFFSET(CRONOPLE!$F$14,$M92,AO$13)="",10^12,OFFSET(CRONOPLE!$F$14,$M92,AO$13))))</f>
        <v>0</v>
      </c>
      <c r="AP92" s="216">
        <f ca="1">IF($D92&lt;&gt;"Serviço",0,IF(AND(AUTOEVENTO="Manual",$M92=1),0,IF(OFFSET(CRONOPLE!$F$14,$M92,AP$13)="",10^12,OFFSET(CRONOPLE!$F$14,$M92,AP$13))))</f>
        <v>0</v>
      </c>
      <c r="AQ92" s="216">
        <f ca="1">IF($D92&lt;&gt;"Serviço",0,IF(AND(AUTOEVENTO="Manual",$M92=1),0,IF(OFFSET(CRONOPLE!$F$14,$M92,AQ$13)="",10^12,OFFSET(CRONOPLE!$F$14,$M92,AQ$13))))</f>
        <v>0</v>
      </c>
      <c r="AR92" s="216">
        <f ca="1">IF($D92&lt;&gt;"Serviço",0,IF(AND(AUTOEVENTO="Manual",$M92=1),0,IF(OFFSET(CRONOPLE!$F$14,$M92,AR$13)="",10^12,OFFSET(CRONOPLE!$F$14,$M92,AR$13))))</f>
        <v>0</v>
      </c>
      <c r="AS92" s="216">
        <f ca="1">IF($D92&lt;&gt;"Serviço",0,IF(AND(AUTOEVENTO="Manual",$M92=1),0,IF(OFFSET(CRONOPLE!$F$14,$M92,AS$13)="",10^12,OFFSET(CRONOPLE!$F$14,$M92,AS$13))))</f>
        <v>0</v>
      </c>
      <c r="AT92" s="216">
        <f ca="1">IF($D92&lt;&gt;"Serviço",0,IF(AND(AUTOEVENTO="Manual",$M92=1),0,IF(OFFSET(CRONOPLE!$F$14,$M92,AT$13)="",10^12,OFFSET(CRONOPLE!$F$14,$M92,AT$13))))</f>
        <v>0</v>
      </c>
      <c r="AU92" s="216">
        <f ca="1">IF($D92&lt;&gt;"Serviço",0,IF(AND(AUTOEVENTO="Manual",$M92=1),0,IF(OFFSET(CRONOPLE!$F$14,$M92,AU$13)="",10^12,OFFSET(CRONOPLE!$F$14,$M92,AU$13))))</f>
        <v>0</v>
      </c>
      <c r="AV92" s="216">
        <f ca="1">IF($D92&lt;&gt;"Serviço",0,IF(AND(AUTOEVENTO="Manual",$M92=1),0,IF(OFFSET(CRONOPLE!$F$14,$M92,AV$13)="",10^12,OFFSET(CRONOPLE!$F$14,$M92,AV$13))))</f>
        <v>0</v>
      </c>
      <c r="AX92" s="217">
        <f ca="1">IF($D92&lt;&gt;"Serviço",0,IF(OR(AND(AUTOEVENTO="Manual",$M92=1),$M92&gt;(ROW(PLE.lastrow)-ROW(PLE.firstrow))),0,IF(OFFSET(PLE!$G$14,$M92,AX$13)="",10^12,OFFSET(PLE!$G$14,$M92,AX$13))))</f>
        <v>0</v>
      </c>
      <c r="AY92" s="217">
        <f ca="1">IF($D92&lt;&gt;"Serviço",0,IF(OR(AND(AUTOEVENTO="Manual",$M92=1),$M92&gt;(ROW(PLE.lastrow)-ROW(PLE.firstrow))),0,IF(OFFSET(PLE!$G$14,$M92,AY$13)="",10^12,OFFSET(PLE!$G$14,$M92,AY$13))))</f>
        <v>0</v>
      </c>
      <c r="AZ92" s="217">
        <f ca="1">IF($D92&lt;&gt;"Serviço",0,IF(OR(AND(AUTOEVENTO="Manual",$M92=1),$M92&gt;(ROW(PLE.lastrow)-ROW(PLE.firstrow))),0,IF(OFFSET(PLE!$G$14,$M92,AZ$13)="",10^12,OFFSET(PLE!$G$14,$M92,AZ$13))))</f>
        <v>0</v>
      </c>
      <c r="BA92" s="217">
        <f ca="1">IF($D92&lt;&gt;"Serviço",0,IF(OR(AND(AUTOEVENTO="Manual",$M92=1),$M92&gt;(ROW(PLE.lastrow)-ROW(PLE.firstrow))),0,IF(OFFSET(PLE!$G$14,$M92,BA$13)="",10^12,OFFSET(PLE!$G$14,$M92,BA$13))))</f>
        <v>0</v>
      </c>
      <c r="BB92" s="217">
        <f ca="1">IF($D92&lt;&gt;"Serviço",0,IF(OR(AND(AUTOEVENTO="Manual",$M92=1),$M92&gt;(ROW(PLE.lastrow)-ROW(PLE.firstrow))),0,IF(OFFSET(PLE!$G$14,$M92,BB$13)="",10^12,OFFSET(PLE!$G$14,$M92,BB$13))))</f>
        <v>0</v>
      </c>
      <c r="BC92" s="217">
        <f ca="1">IF($D92&lt;&gt;"Serviço",0,IF(OR(AND(AUTOEVENTO="Manual",$M92=1),$M92&gt;(ROW(PLE.lastrow)-ROW(PLE.firstrow))),0,IF(OFFSET(PLE!$G$14,$M92,BC$13)="",10^12,OFFSET(PLE!$G$14,$M92,BC$13))))</f>
        <v>0</v>
      </c>
      <c r="BD92" s="217">
        <f ca="1">IF($D92&lt;&gt;"Serviço",0,IF(OR(AND(AUTOEVENTO="Manual",$M92=1),$M92&gt;(ROW(PLE.lastrow)-ROW(PLE.firstrow))),0,IF(OFFSET(PLE!$G$14,$M92,BD$13)="",10^12,OFFSET(PLE!$G$14,$M92,BD$13))))</f>
        <v>0</v>
      </c>
      <c r="BE92" s="217">
        <f ca="1">IF($D92&lt;&gt;"Serviço",0,IF(OR(AND(AUTOEVENTO="Manual",$M92=1),$M92&gt;(ROW(PLE.lastrow)-ROW(PLE.firstrow))),0,IF(OFFSET(PLE!$G$14,$M92,BE$13)="",10^12,OFFSET(PLE!$G$14,$M92,BE$13))))</f>
        <v>0</v>
      </c>
      <c r="BF92" s="217">
        <f ca="1">IF($D92&lt;&gt;"Serviço",0,IF(OR(AND(AUTOEVENTO="Manual",$M92=1),$M92&gt;(ROW(PLE.lastrow)-ROW(PLE.firstrow))),0,IF(OFFSET(PLE!$G$14,$M92,BF$13)="",10^12,OFFSET(PLE!$G$14,$M92,BF$13))))</f>
        <v>0</v>
      </c>
      <c r="BG92" s="217">
        <f ca="1">IF($D92&lt;&gt;"Serviço",0,IF(OR(AND(AUTOEVENTO="Manual",$M92=1),$M92&gt;(ROW(PLE.lastrow)-ROW(PLE.firstrow))),0,IF(OFFSET(PLE!$G$14,$M92,BG$13)="",10^12,OFFSET(PLE!$G$14,$M92,BG$13))))</f>
        <v>0</v>
      </c>
    </row>
    <row r="93" spans="1:59" ht="25.5" x14ac:dyDescent="0.2">
      <c r="A93" s="9" t="str">
        <f t="shared" ca="1" si="9"/>
        <v>77</v>
      </c>
      <c r="B93" s="9" t="str">
        <f ca="1">OFFSET(ORÇAMENTO!C$15,ROW(B93)-ROW(B$15),0)</f>
        <v>S</v>
      </c>
      <c r="C93" s="9" t="str">
        <f ca="1">OFFSET(ORÇAMENTO!L$15,ROW(C93)-ROW(C$15),0)</f>
        <v>F</v>
      </c>
      <c r="D93" s="146" t="str">
        <f ca="1">OFFSET(ORÇAMENTO!N$15,ROW(D93)-ROW(D$15),0)</f>
        <v>Serviço</v>
      </c>
      <c r="E93" s="206" t="str">
        <f ca="1">OFFSET(ORÇAMENTO!O$15,ROW(E93)-ROW(E$15),0)</f>
        <v>2.1.1.</v>
      </c>
      <c r="F93" s="207" t="str">
        <f ca="1">OFFSET(ORÇAMENTO!R$15,ROW(F93)-ROW(F$15),0)</f>
        <v>TABUA DE MADEIRA NAO APARELHADA *2,5 X 30* CM, CEDRINHO OU EQUIVALENTE DA REGIAO</v>
      </c>
      <c r="G93" s="208" t="str">
        <f ca="1">IF($D93&lt;&gt;"Serviço","",OFFSET(ORÇAMENTO!S$15,ROW(G93)-ROW(G$15),0))</f>
        <v xml:space="preserve">M     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112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8</v>
      </c>
      <c r="N93" s="212" t="str">
        <f ca="1">IF($D93&lt;&gt;"Serviço","",IF(AUTOEVENTO="Manual",IF($A93=0,"&lt;-- defina o número do agrupador",OFFSET(EVENTOS!$D$14,$A93,0)),OFFSET($F$15,$A93,0)))</f>
        <v>(FUNDAÇÕES RASAS , VIGAS , PILARES, VIGAS BALDRAME)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25.5" x14ac:dyDescent="0.2">
      <c r="A94" s="9" t="str">
        <f t="shared" ca="1" si="9"/>
        <v>77</v>
      </c>
      <c r="B94" s="9" t="str">
        <f ca="1">OFFSET(ORÇAMENTO!C$15,ROW(B94)-ROW(B$15),0)</f>
        <v>S</v>
      </c>
      <c r="C94" s="9" t="str">
        <f ca="1">OFFSET(ORÇAMENTO!L$15,ROW(C94)-ROW(C$15),0)</f>
        <v>F</v>
      </c>
      <c r="D94" s="146" t="str">
        <f ca="1">OFFSET(ORÇAMENTO!N$15,ROW(D94)-ROW(D$15),0)</f>
        <v>Serviço</v>
      </c>
      <c r="E94" s="206" t="str">
        <f ca="1">OFFSET(ORÇAMENTO!O$15,ROW(E94)-ROW(E$15),0)</f>
        <v>2.1.2.</v>
      </c>
      <c r="F94" s="207" t="str">
        <f ca="1">OFFSET(ORÇAMENTO!R$15,ROW(F94)-ROW(F$15),0)</f>
        <v>LASTRO COM MATERIAL GRANULAR, APLICAÇÃO EM PISOS OU RADIERS, ESPESSURA DE *5 CM*. AF_08/2017</v>
      </c>
      <c r="G94" s="208" t="str">
        <f ca="1">IF($D94&lt;&gt;"Serviço","",OFFSET(ORÇAMENTO!S$15,ROW(G94)-ROW(G$15),0))</f>
        <v>M3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4.8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8</v>
      </c>
      <c r="N94" s="212" t="str">
        <f ca="1">IF($D94&lt;&gt;"Serviço","",IF(AUTOEVENTO="Manual",IF($A94=0,"&lt;-- defina o número do agrupador",OFFSET(EVENTOS!$D$14,$A94,0)),OFFSET($F$15,$A94,0)))</f>
        <v>(FUNDAÇÕES RASAS , VIGAS , PILARES, VIGAS BALDRAME)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25.5" x14ac:dyDescent="0.2">
      <c r="A95" s="9" t="str">
        <f t="shared" ca="1" si="9"/>
        <v>77</v>
      </c>
      <c r="B95" s="9" t="str">
        <f ca="1">OFFSET(ORÇAMENTO!C$15,ROW(B95)-ROW(B$15),0)</f>
        <v>S</v>
      </c>
      <c r="C95" s="9" t="str">
        <f ca="1">OFFSET(ORÇAMENTO!L$15,ROW(C95)-ROW(C$15),0)</f>
        <v>F</v>
      </c>
      <c r="D95" s="146" t="str">
        <f ca="1">OFFSET(ORÇAMENTO!N$15,ROW(D95)-ROW(D$15),0)</f>
        <v>Serviço</v>
      </c>
      <c r="E95" s="206" t="str">
        <f ca="1">OFFSET(ORÇAMENTO!O$15,ROW(E95)-ROW(E$15),0)</f>
        <v>2.1.3.</v>
      </c>
      <c r="F95" s="207" t="str">
        <f ca="1">OFFSET(ORÇAMENTO!R$15,ROW(F95)-ROW(F$15),0)</f>
        <v>ALVENARIA DE VEDAÇÃO DE BLOCOS CERÂMICOS FURADOS NA HORIZONTAL DE 9X14X19CM (ESPESSURA 9CM) DE PAREDES COM ÁREA LÍQUIDA MAIOR OU IGUAL A 6M² SEM VÃOS E ARGAMASSA DE ASSENTAMENTO COM PREPARO EM BETONEIRA. AF_06/2014</v>
      </c>
      <c r="G95" s="208" t="str">
        <f ca="1">IF($D95&lt;&gt;"Serviço","",OFFSET(ORÇAMENTO!S$15,ROW(G95)-ROW(G$15),0))</f>
        <v>M2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76.56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8</v>
      </c>
      <c r="N95" s="212" t="str">
        <f ca="1">IF($D95&lt;&gt;"Serviço","",IF(AUTOEVENTO="Manual",IF($A95=0,"&lt;-- defina o número do agrupador",OFFSET(EVENTOS!$D$14,$A95,0)),OFFSET($F$15,$A95,0)))</f>
        <v>(FUNDAÇÕES RASAS , VIGAS , PILARES, VIGAS BALDRAME)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25.5" x14ac:dyDescent="0.2">
      <c r="A96" s="9" t="str">
        <f t="shared" ca="1" si="9"/>
        <v>77</v>
      </c>
      <c r="B96" s="9" t="str">
        <f ca="1">OFFSET(ORÇAMENTO!C$15,ROW(B96)-ROW(B$15),0)</f>
        <v>S</v>
      </c>
      <c r="C96" s="9" t="str">
        <f ca="1">OFFSET(ORÇAMENTO!L$15,ROW(C96)-ROW(C$15),0)</f>
        <v>F</v>
      </c>
      <c r="D96" s="146" t="str">
        <f ca="1">OFFSET(ORÇAMENTO!N$15,ROW(D96)-ROW(D$15),0)</f>
        <v>Serviço</v>
      </c>
      <c r="E96" s="206" t="str">
        <f ca="1">OFFSET(ORÇAMENTO!O$15,ROW(E96)-ROW(E$15),0)</f>
        <v>2.1.4.</v>
      </c>
      <c r="F96" s="207" t="str">
        <f ca="1">OFFSET(ORÇAMENTO!R$15,ROW(F96)-ROW(F$15),0)</f>
        <v>ESCAVACAO MECANICA CAMPO ABERTO EM SOLO EXCETO ROCHA ATE 2,00M PROFUNDIDADE</v>
      </c>
      <c r="G96" s="208" t="str">
        <f ca="1">IF($D96&lt;&gt;"Serviço","",OFFSET(ORÇAMENTO!S$15,ROW(G96)-ROW(G$15),0))</f>
        <v>M3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1.29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8</v>
      </c>
      <c r="N96" s="212" t="str">
        <f ca="1">IF($D96&lt;&gt;"Serviço","",IF(AUTOEVENTO="Manual",IF($A96=0,"&lt;-- defina o número do agrupador",OFFSET(EVENTOS!$D$14,$A96,0)),OFFSET($F$15,$A96,0)))</f>
        <v>(FUNDAÇÕES RASAS , VIGAS , PILARES, VIGAS BALDRAME)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25.5" x14ac:dyDescent="0.2">
      <c r="A97" s="9" t="str">
        <f t="shared" ca="1" si="9"/>
        <v>77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6" t="str">
        <f ca="1">OFFSET(ORÇAMENTO!N$15,ROW(D97)-ROW(D$15),0)</f>
        <v>Serviço</v>
      </c>
      <c r="E97" s="206" t="str">
        <f ca="1">OFFSET(ORÇAMENTO!O$15,ROW(E97)-ROW(E$15),0)</f>
        <v>2.1.5.</v>
      </c>
      <c r="F97" s="207" t="str">
        <f ca="1">OFFSET(ORÇAMENTO!R$15,ROW(F97)-ROW(F$15),0)</f>
        <v>CONCRETO FCK = 20MPA, TRAÇO 1:2,7:3 (CIMENTO/ AREIA MÉDIA/ BRITA 1)  - PREPARO MECÂNICO COM BETONEIRA 400 L. AF_07/2016</v>
      </c>
      <c r="G97" s="208" t="str">
        <f ca="1">IF($D97&lt;&gt;"Serviço","",OFFSET(ORÇAMENTO!S$15,ROW(G97)-ROW(G$15),0))</f>
        <v>M3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4.3099999999999996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8</v>
      </c>
      <c r="N97" s="212" t="str">
        <f ca="1">IF($D97&lt;&gt;"Serviço","",IF(AUTOEVENTO="Manual",IF($A97=0,"&lt;-- defina o número do agrupador",OFFSET(EVENTOS!$D$14,$A97,0)),OFFSET($F$15,$A97,0)))</f>
        <v>(FUNDAÇÕES RASAS , VIGAS , PILARES, VIGAS BALDRAME)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9" t="str">
        <f t="shared" ca="1" si="9"/>
        <v>77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6" t="str">
        <f ca="1">OFFSET(ORÇAMENTO!N$15,ROW(D98)-ROW(D$15),0)</f>
        <v>Serviço</v>
      </c>
      <c r="E98" s="206" t="str">
        <f ca="1">OFFSET(ORÇAMENTO!O$15,ROW(E98)-ROW(E$15),0)</f>
        <v>2.1.6.</v>
      </c>
      <c r="F98" s="207" t="str">
        <f ca="1">OFFSET(ORÇAMENTO!R$15,ROW(F98)-ROW(F$15),0)</f>
        <v>ARMAÇÃO DE PILAR OU VIGA DE UMA ESTRUTURA CONVENCIONAL DE CONCRETO ARMADO EM UM EDIFÍCIO DE MÚLTIPLOS PAVIMENTOS UTILIZANDO AÇO CA-50 DE 6,3 MM - MONTAGEM. AF_12/2015</v>
      </c>
      <c r="G98" s="208" t="str">
        <f ca="1">IF($D98&lt;&gt;"Serviço","",OFFSET(ORÇAMENTO!S$15,ROW(G98)-ROW(G$15),0))</f>
        <v>KG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166.14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8</v>
      </c>
      <c r="N98" s="212" t="str">
        <f ca="1">IF($D98&lt;&gt;"Serviço","",IF(AUTOEVENTO="Manual",IF($A98=0,"&lt;-- defina o número do agrupador",OFFSET(EVENTOS!$D$14,$A98,0)),OFFSET($F$15,$A98,0)))</f>
        <v>(FUNDAÇÕES RASAS , VIGAS , PILARES, VIGAS BALDRAME)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25.5" x14ac:dyDescent="0.2">
      <c r="A99" s="9" t="str">
        <f t="shared" ca="1" si="9"/>
        <v>77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6" t="str">
        <f ca="1">OFFSET(ORÇAMENTO!N$15,ROW(D99)-ROW(D$15),0)</f>
        <v>Serviço</v>
      </c>
      <c r="E99" s="206" t="str">
        <f ca="1">OFFSET(ORÇAMENTO!O$15,ROW(E99)-ROW(E$15),0)</f>
        <v>2.1.7.</v>
      </c>
      <c r="F99" s="207" t="str">
        <f ca="1">OFFSET(ORÇAMENTO!R$15,ROW(F99)-ROW(F$15),0)</f>
        <v>ARMAÇÃO DE PILAR OU VIGA DE UMA ESTRUTURA CONVENCIONAL DE CONCRETO ARMADO EM UM EDIFÍCIO DE MÚLTIPLOS PAVIMENTOS UTILIZANDO AÇO CA-50 DE 10,0 MM - MONTAGEM. AF_12/2015</v>
      </c>
      <c r="G99" s="208" t="str">
        <f ca="1">IF($D99&lt;&gt;"Serviço","",OFFSET(ORÇAMENTO!S$15,ROW(G99)-ROW(G$15),0))</f>
        <v>KG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379.31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8</v>
      </c>
      <c r="N99" s="212" t="str">
        <f ca="1">IF($D99&lt;&gt;"Serviço","",IF(AUTOEVENTO="Manual",IF($A99=0,"&lt;-- defina o número do agrupador",OFFSET(EVENTOS!$D$14,$A99,0)),OFFSET($F$15,$A99,0)))</f>
        <v>(FUNDAÇÕES RASAS , VIGAS , PILARES, VIGAS BALDRAME)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9" t="str">
        <f t="shared" ca="1" si="9"/>
        <v>77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8</v>
      </c>
      <c r="N100" s="212" t="str">
        <f ca="1">IF($D100&lt;&gt;"Serviço","",IF(AUTOEVENTO="Manual",IF($A100=0,"&lt;-- defina o número do agrupador",OFFSET(EVENTOS!$D$14,$A100,0)),OFFSET($F$15,$A100,0)))</f>
        <v>(FUNDAÇÕES RASAS , VIGAS , PILARES, VIGAS BALDRAME)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86.</v>
      </c>
      <c r="B101" s="9">
        <f ca="1">OFFSET(ORÇAMENTO!C$15,ROW(B101)-ROW(B$15),0)</f>
        <v>2</v>
      </c>
      <c r="C101" s="9" t="str">
        <f ca="1">OFFSET(ORÇAMENTO!L$15,ROW(C101)-ROW(C$15),0)</f>
        <v>F</v>
      </c>
      <c r="D101" s="146" t="str">
        <f ca="1">OFFSET(ORÇAMENTO!N$15,ROW(D101)-ROW(D$15),0)</f>
        <v>Nível 2</v>
      </c>
      <c r="E101" s="206" t="str">
        <f ca="1">OFFSET(ORÇAMENTO!O$15,ROW(E101)-ROW(E$15),0)</f>
        <v>2.2.</v>
      </c>
      <c r="F101" s="207" t="str">
        <f ca="1">OFFSET(ORÇAMENTO!R$15,ROW(F101)-ROW(F$15),0)</f>
        <v>(COBERTURAS / ESTRUTURA METALICA)</v>
      </c>
      <c r="G101" s="208" t="str">
        <f ca="1">IF($D101&lt;&gt;"Serviço","",OFFSET(ORÇAMENTO!S$15,ROW(G101)-ROW(G$15),0))</f>
        <v/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 t="str">
        <f ca="1">IF($D101&lt;&gt;"Serviço","",IF(AUTOEVENTO="manual",$A101,IF(ISERROR(MATCH($A101,$A$15:OFFSET($A101,-1,0),0)),MAX($M$15:OFFSET(M101,-1,0))+1,INDEX($M$15:OFFSET(M101,-1,0),MATCH($A101,$A$15:OFFSET($A101,-1,0),0)))))</f>
        <v/>
      </c>
      <c r="N101" s="212" t="str">
        <f ca="1">IF($D101&lt;&gt;"Serviço","",IF(AUTOEVENTO="Manual",IF($A101=0,"&lt;-- defina o número do agrupador",OFFSET(EVENTOS!$D$14,$A101,0)),OFFSET($F$15,$A101,0)))</f>
        <v/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0</v>
      </c>
      <c r="AN101" s="216">
        <f ca="1">IF($D101&lt;&gt;"Serviço",0,IF(AND(AUTOEVENTO="Manual",$M101=1),0,IF(OFFSET(CRONOPLE!$F$14,$M101,AN$13)="",10^12,OFFSET(CRONOPLE!$F$14,$M101,AN$13))))</f>
        <v>0</v>
      </c>
      <c r="AO101" s="216">
        <f ca="1">IF($D101&lt;&gt;"Serviço",0,IF(AND(AUTOEVENTO="Manual",$M101=1),0,IF(OFFSET(CRONOPLE!$F$14,$M101,AO$13)="",10^12,OFFSET(CRONOPLE!$F$14,$M101,AO$13))))</f>
        <v>0</v>
      </c>
      <c r="AP101" s="216">
        <f ca="1">IF($D101&lt;&gt;"Serviço",0,IF(AND(AUTOEVENTO="Manual",$M101=1),0,IF(OFFSET(CRONOPLE!$F$14,$M101,AP$13)="",10^12,OFFSET(CRONOPLE!$F$14,$M101,AP$13))))</f>
        <v>0</v>
      </c>
      <c r="AQ101" s="216">
        <f ca="1">IF($D101&lt;&gt;"Serviço",0,IF(AND(AUTOEVENTO="Manual",$M101=1),0,IF(OFFSET(CRONOPLE!$F$14,$M101,AQ$13)="",10^12,OFFSET(CRONOPLE!$F$14,$M101,AQ$13))))</f>
        <v>0</v>
      </c>
      <c r="AR101" s="216">
        <f ca="1">IF($D101&lt;&gt;"Serviço",0,IF(AND(AUTOEVENTO="Manual",$M101=1),0,IF(OFFSET(CRONOPLE!$F$14,$M101,AR$13)="",10^12,OFFSET(CRONOPLE!$F$14,$M101,AR$13))))</f>
        <v>0</v>
      </c>
      <c r="AS101" s="216">
        <f ca="1">IF($D101&lt;&gt;"Serviço",0,IF(AND(AUTOEVENTO="Manual",$M101=1),0,IF(OFFSET(CRONOPLE!$F$14,$M101,AS$13)="",10^12,OFFSET(CRONOPLE!$F$14,$M101,AS$13))))</f>
        <v>0</v>
      </c>
      <c r="AT101" s="216">
        <f ca="1">IF($D101&lt;&gt;"Serviço",0,IF(AND(AUTOEVENTO="Manual",$M101=1),0,IF(OFFSET(CRONOPLE!$F$14,$M101,AT$13)="",10^12,OFFSET(CRONOPLE!$F$14,$M101,AT$13))))</f>
        <v>0</v>
      </c>
      <c r="AU101" s="216">
        <f ca="1">IF($D101&lt;&gt;"Serviço",0,IF(AND(AUTOEVENTO="Manual",$M101=1),0,IF(OFFSET(CRONOPLE!$F$14,$M101,AU$13)="",10^12,OFFSET(CRONOPLE!$F$14,$M101,AU$13))))</f>
        <v>0</v>
      </c>
      <c r="AV101" s="216">
        <f ca="1">IF($D101&lt;&gt;"Serviço",0,IF(AND(AUTOEVENTO="Manual",$M101=1),0,IF(OFFSET(CRONOPLE!$F$14,$M101,AV$13)="",10^12,OFFSET(CRONOPLE!$F$14,$M101,AV$13))))</f>
        <v>0</v>
      </c>
      <c r="AX101" s="217">
        <f ca="1">IF($D101&lt;&gt;"Serviço",0,IF(OR(AND(AUTOEVENTO="Manual",$M101=1),$M101&gt;(ROW(PLE.lastrow)-ROW(PLE.firstrow))),0,IF(OFFSET(PLE!$G$14,$M101,AX$13)="",10^12,OFFSET(PLE!$G$14,$M101,AX$13))))</f>
        <v>0</v>
      </c>
      <c r="AY101" s="217">
        <f ca="1">IF($D101&lt;&gt;"Serviço",0,IF(OR(AND(AUTOEVENTO="Manual",$M101=1),$M101&gt;(ROW(PLE.lastrow)-ROW(PLE.firstrow))),0,IF(OFFSET(PLE!$G$14,$M101,AY$13)="",10^12,OFFSET(PLE!$G$14,$M101,AY$13))))</f>
        <v>0</v>
      </c>
      <c r="AZ101" s="217">
        <f ca="1">IF($D101&lt;&gt;"Serviço",0,IF(OR(AND(AUTOEVENTO="Manual",$M101=1),$M101&gt;(ROW(PLE.lastrow)-ROW(PLE.firstrow))),0,IF(OFFSET(PLE!$G$14,$M101,AZ$13)="",10^12,OFFSET(PLE!$G$14,$M101,AZ$13))))</f>
        <v>0</v>
      </c>
      <c r="BA101" s="217">
        <f ca="1">IF($D101&lt;&gt;"Serviço",0,IF(OR(AND(AUTOEVENTO="Manual",$M101=1),$M101&gt;(ROW(PLE.lastrow)-ROW(PLE.firstrow))),0,IF(OFFSET(PLE!$G$14,$M101,BA$13)="",10^12,OFFSET(PLE!$G$14,$M101,BA$13))))</f>
        <v>0</v>
      </c>
      <c r="BB101" s="217">
        <f ca="1">IF($D101&lt;&gt;"Serviço",0,IF(OR(AND(AUTOEVENTO="Manual",$M101=1),$M101&gt;(ROW(PLE.lastrow)-ROW(PLE.firstrow))),0,IF(OFFSET(PLE!$G$14,$M101,BB$13)="",10^12,OFFSET(PLE!$G$14,$M101,BB$13))))</f>
        <v>0</v>
      </c>
      <c r="BC101" s="217">
        <f ca="1">IF($D101&lt;&gt;"Serviço",0,IF(OR(AND(AUTOEVENTO="Manual",$M101=1),$M101&gt;(ROW(PLE.lastrow)-ROW(PLE.firstrow))),0,IF(OFFSET(PLE!$G$14,$M101,BC$13)="",10^12,OFFSET(PLE!$G$14,$M101,BC$13))))</f>
        <v>0</v>
      </c>
      <c r="BD101" s="217">
        <f ca="1">IF($D101&lt;&gt;"Serviço",0,IF(OR(AND(AUTOEVENTO="Manual",$M101=1),$M101&gt;(ROW(PLE.lastrow)-ROW(PLE.firstrow))),0,IF(OFFSET(PLE!$G$14,$M101,BD$13)="",10^12,OFFSET(PLE!$G$14,$M101,BD$13))))</f>
        <v>0</v>
      </c>
      <c r="BE101" s="217">
        <f ca="1">IF($D101&lt;&gt;"Serviço",0,IF(OR(AND(AUTOEVENTO="Manual",$M101=1),$M101&gt;(ROW(PLE.lastrow)-ROW(PLE.firstrow))),0,IF(OFFSET(PLE!$G$14,$M101,BE$13)="",10^12,OFFSET(PLE!$G$14,$M101,BE$13))))</f>
        <v>0</v>
      </c>
      <c r="BF101" s="217">
        <f ca="1">IF($D101&lt;&gt;"Serviço",0,IF(OR(AND(AUTOEVENTO="Manual",$M101=1),$M101&gt;(ROW(PLE.lastrow)-ROW(PLE.firstrow))),0,IF(OFFSET(PLE!$G$14,$M101,BF$13)="",10^12,OFFSET(PLE!$G$14,$M101,BF$13))))</f>
        <v>0</v>
      </c>
      <c r="BG101" s="217">
        <f ca="1">IF($D101&lt;&gt;"Serviço",0,IF(OR(AND(AUTOEVENTO="Manual",$M101=1),$M101&gt;(ROW(PLE.lastrow)-ROW(PLE.firstrow))),0,IF(OFFSET(PLE!$G$14,$M101,BG$13)="",10^12,OFFSET(PLE!$G$14,$M101,BG$13))))</f>
        <v>0</v>
      </c>
    </row>
    <row r="102" spans="1:59" ht="25.5" x14ac:dyDescent="0.2">
      <c r="A102" s="9" t="str">
        <f t="shared" ca="1" si="9"/>
        <v>86</v>
      </c>
      <c r="B102" s="9" t="str">
        <f ca="1">OFFSET(ORÇAMENTO!C$15,ROW(B102)-ROW(B$15),0)</f>
        <v>S</v>
      </c>
      <c r="C102" s="9" t="str">
        <f ca="1">OFFSET(ORÇAMENTO!L$15,ROW(C102)-ROW(C$15),0)</f>
        <v>F</v>
      </c>
      <c r="D102" s="146" t="str">
        <f ca="1">OFFSET(ORÇAMENTO!N$15,ROW(D102)-ROW(D$15),0)</f>
        <v>Serviço</v>
      </c>
      <c r="E102" s="206" t="str">
        <f ca="1">OFFSET(ORÇAMENTO!O$15,ROW(E102)-ROW(E$15),0)</f>
        <v>2.2.1.</v>
      </c>
      <c r="F102" s="207" t="str">
        <f ca="1">OFFSET(ORÇAMENTO!R$15,ROW(F102)-ROW(F$15),0)</f>
        <v>TABEIRA (espelho) DE MADEIRA DE 2,50CMX20CM, APARELHADA PARA BEIRAL</v>
      </c>
      <c r="G102" s="208" t="str">
        <f ca="1">IF($D102&lt;&gt;"Serviço","",OFFSET(ORÇAMENTO!S$15,ROW(G102)-ROW(G$15),0))</f>
        <v>M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30.8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9</v>
      </c>
      <c r="N102" s="212" t="str">
        <f ca="1">IF($D102&lt;&gt;"Serviço","",IF(AUTOEVENTO="Manual",IF($A102=0,"&lt;-- defina o número do agrupador",OFFSET(EVENTOS!$D$14,$A102,0)),OFFSET($F$15,$A102,0)))</f>
        <v>(COBERTURAS / ESTRUTURA METALICA)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25.5" x14ac:dyDescent="0.2">
      <c r="A103" s="9" t="str">
        <f t="shared" ca="1" si="9"/>
        <v>86</v>
      </c>
      <c r="B103" s="9" t="str">
        <f ca="1">OFFSET(ORÇAMENTO!C$15,ROW(B103)-ROW(B$15),0)</f>
        <v>S</v>
      </c>
      <c r="C103" s="9" t="str">
        <f ca="1">OFFSET(ORÇAMENTO!L$15,ROW(C103)-ROW(C$15),0)</f>
        <v>F</v>
      </c>
      <c r="D103" s="146" t="str">
        <f ca="1">OFFSET(ORÇAMENTO!N$15,ROW(D103)-ROW(D$15),0)</f>
        <v>Serviço</v>
      </c>
      <c r="E103" s="206" t="str">
        <f ca="1">OFFSET(ORÇAMENTO!O$15,ROW(E103)-ROW(E$15),0)</f>
        <v>2.2.2.</v>
      </c>
      <c r="F103" s="207" t="str">
        <f ca="1">OFFSET(ORÇAMENTO!R$15,ROW(F103)-ROW(F$15),0)</f>
        <v>CALHA EM CHAPA DE AÇO GALVANIZADO NÚMERO 24, DESENVOLVIMENTO DE 33 CM, INCLUSO TRANSPORTE VERTICAL. AF_07/2019</v>
      </c>
      <c r="G103" s="208" t="str">
        <f ca="1">IF($D103&lt;&gt;"Serviço","",OFFSET(ORÇAMENTO!S$15,ROW(G103)-ROW(G$15),0))</f>
        <v>M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19.079999999999998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9</v>
      </c>
      <c r="N103" s="212" t="str">
        <f ca="1">IF($D103&lt;&gt;"Serviço","",IF(AUTOEVENTO="Manual",IF($A103=0,"&lt;-- defina o número do agrupador",OFFSET(EVENTOS!$D$14,$A103,0)),OFFSET($F$15,$A103,0)))</f>
        <v>(COBERTURAS / ESTRUTURA METALICA)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25.5" x14ac:dyDescent="0.2">
      <c r="A104" s="9" t="str">
        <f t="shared" ca="1" si="9"/>
        <v>86</v>
      </c>
      <c r="B104" s="9" t="str">
        <f ca="1">OFFSET(ORÇAMENTO!C$15,ROW(B104)-ROW(B$15),0)</f>
        <v>S</v>
      </c>
      <c r="C104" s="9" t="str">
        <f ca="1">OFFSET(ORÇAMENTO!L$15,ROW(C104)-ROW(C$15),0)</f>
        <v>F</v>
      </c>
      <c r="D104" s="146" t="str">
        <f ca="1">OFFSET(ORÇAMENTO!N$15,ROW(D104)-ROW(D$15),0)</f>
        <v>Serviço</v>
      </c>
      <c r="E104" s="206" t="str">
        <f ca="1">OFFSET(ORÇAMENTO!O$15,ROW(E104)-ROW(E$15),0)</f>
        <v>2.2.3.</v>
      </c>
      <c r="F104" s="207" t="str">
        <f ca="1">OFFSET(ORÇAMENTO!R$15,ROW(F104)-ROW(F$15),0)</f>
        <v>FORRO DE PVC LISO, BRANCO, REGUA DE 10 CM, ESPESSURA DE 8 MM A 10 MM (COM COLOCACAO / SEM ESTRUTURA METALICA)</v>
      </c>
      <c r="G104" s="208" t="str">
        <f ca="1">IF($D104&lt;&gt;"Serviço","",OFFSET(ORÇAMENTO!S$15,ROW(G104)-ROW(G$15),0))</f>
        <v xml:space="preserve">M2    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73.45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9</v>
      </c>
      <c r="N104" s="212" t="str">
        <f ca="1">IF($D104&lt;&gt;"Serviço","",IF(AUTOEVENTO="Manual",IF($A104=0,"&lt;-- defina o número do agrupador",OFFSET(EVENTOS!$D$14,$A104,0)),OFFSET($F$15,$A104,0)))</f>
        <v>(COBERTURAS / ESTRUTURA METALICA)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25.5" x14ac:dyDescent="0.2">
      <c r="A105" s="9" t="str">
        <f t="shared" ca="1" si="9"/>
        <v>86</v>
      </c>
      <c r="B105" s="9" t="str">
        <f ca="1">OFFSET(ORÇAMENTO!C$15,ROW(B105)-ROW(B$15),0)</f>
        <v>S</v>
      </c>
      <c r="C105" s="9" t="str">
        <f ca="1">OFFSET(ORÇAMENTO!L$15,ROW(C105)-ROW(C$15),0)</f>
        <v>F</v>
      </c>
      <c r="D105" s="146" t="str">
        <f ca="1">OFFSET(ORÇAMENTO!N$15,ROW(D105)-ROW(D$15),0)</f>
        <v>Serviço</v>
      </c>
      <c r="E105" s="206" t="str">
        <f ca="1">OFFSET(ORÇAMENTO!O$15,ROW(E105)-ROW(E$15),0)</f>
        <v>2.2.4.</v>
      </c>
      <c r="F105" s="207" t="str">
        <f ca="1">OFFSET(ORÇAMENTO!R$15,ROW(F105)-ROW(F$15),0)</f>
        <v>FABRICAÇÃO E INSTALAÇÃO DE TESOURA INTEIRA EM AÇO, VÃO DE 6 M, PARA TELHA CERÂMICA OU DE CONCRETO, INCLUSO IÇAMENTO. AF_12/2015</v>
      </c>
      <c r="G105" s="208" t="str">
        <f ca="1">IF($D105&lt;&gt;"Serviço","",OFFSET(ORÇAMENTO!S$15,ROW(G105)-ROW(G$15),0))</f>
        <v>UN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4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9</v>
      </c>
      <c r="N105" s="212" t="str">
        <f ca="1">IF($D105&lt;&gt;"Serviço","",IF(AUTOEVENTO="Manual",IF($A105=0,"&lt;-- defina o número do agrupador",OFFSET(EVENTOS!$D$14,$A105,0)),OFFSET($F$15,$A105,0)))</f>
        <v>(COBERTURAS / ESTRUTURA METALICA)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25.5" x14ac:dyDescent="0.2">
      <c r="A106" s="9" t="str">
        <f t="shared" ca="1" si="9"/>
        <v>86</v>
      </c>
      <c r="B106" s="9" t="str">
        <f ca="1">OFFSET(ORÇAMENTO!C$15,ROW(B106)-ROW(B$15),0)</f>
        <v>S</v>
      </c>
      <c r="C106" s="9" t="str">
        <f ca="1">OFFSET(ORÇAMENTO!L$15,ROW(C106)-ROW(C$15),0)</f>
        <v>F</v>
      </c>
      <c r="D106" s="146" t="str">
        <f ca="1">OFFSET(ORÇAMENTO!N$15,ROW(D106)-ROW(D$15),0)</f>
        <v>Serviço</v>
      </c>
      <c r="E106" s="206" t="str">
        <f ca="1">OFFSET(ORÇAMENTO!O$15,ROW(E106)-ROW(E$15),0)</f>
        <v>2.2.5.</v>
      </c>
      <c r="F106" s="207" t="str">
        <f ca="1">OFFSET(ORÇAMENTO!R$15,ROW(F106)-ROW(F$15),0)</f>
        <v>TELHAMENTO COM TELHA ONDULADA DE FIBROCIMENTO E = 6 MM, COM RECOBRIMENTO LATERAL DE 1 1/4 DE ONDA PARA TELHADO COM INCLINAÇÃO MÁXIMA DE 10°, COM ATÉ 2 ÁGUAS, INCLUSO IÇAMENTO. AF_07/2019</v>
      </c>
      <c r="G106" s="208" t="str">
        <f ca="1">IF($D106&lt;&gt;"Serviço","",OFFSET(ORÇAMENTO!S$15,ROW(G106)-ROW(G$15),0))</f>
        <v>M2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75.650000000000006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9</v>
      </c>
      <c r="N106" s="212" t="str">
        <f ca="1">IF($D106&lt;&gt;"Serviço","",IF(AUTOEVENTO="Manual",IF($A106=0,"&lt;-- defina o número do agrupador",OFFSET(EVENTOS!$D$14,$A106,0)),OFFSET($F$15,$A106,0)))</f>
        <v>(COBERTURAS / ESTRUTURA METALICA)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25.5" x14ac:dyDescent="0.2">
      <c r="A107" s="9" t="str">
        <f t="shared" ca="1" si="9"/>
        <v>86</v>
      </c>
      <c r="B107" s="9" t="str">
        <f ca="1">OFFSET(ORÇAMENTO!C$15,ROW(B107)-ROW(B$15),0)</f>
        <v>S</v>
      </c>
      <c r="C107" s="9" t="str">
        <f ca="1">OFFSET(ORÇAMENTO!L$15,ROW(C107)-ROW(C$15),0)</f>
        <v>F</v>
      </c>
      <c r="D107" s="146" t="str">
        <f ca="1">OFFSET(ORÇAMENTO!N$15,ROW(D107)-ROW(D$15),0)</f>
        <v>Serviço</v>
      </c>
      <c r="E107" s="206" t="str">
        <f ca="1">OFFSET(ORÇAMENTO!O$15,ROW(E107)-ROW(E$15),0)</f>
        <v>2.2.6.</v>
      </c>
      <c r="F107" s="207" t="str">
        <f ca="1">OFFSET(ORÇAMENTO!R$15,ROW(F107)-ROW(F$15),0)</f>
        <v>CUMEEIRA ARTICULADA (ABA INTERNA INFERIOR OU EXTERNA SUPERIOR) PARA TELHA ESTRUTURAL DE FIBROCIMENTO, 1 ABA, E = 6 MM (SEM AMIANTO)</v>
      </c>
      <c r="G107" s="208" t="str">
        <f ca="1">IF($D107&lt;&gt;"Serviço","",OFFSET(ORÇAMENTO!S$15,ROW(G107)-ROW(G$15),0))</f>
        <v xml:space="preserve">UN    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9.64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9</v>
      </c>
      <c r="N107" s="212" t="str">
        <f ca="1">IF($D107&lt;&gt;"Serviço","",IF(AUTOEVENTO="Manual",IF($A107=0,"&lt;-- defina o número do agrupador",OFFSET(EVENTOS!$D$14,$A107,0)),OFFSET($F$15,$A107,0)))</f>
        <v>(COBERTURAS / ESTRUTURA METALICA)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93.</v>
      </c>
      <c r="B108" s="9">
        <f ca="1">OFFSET(ORÇAMENTO!C$15,ROW(B108)-ROW(B$15),0)</f>
        <v>2</v>
      </c>
      <c r="C108" s="9" t="str">
        <f ca="1">OFFSET(ORÇAMENTO!L$15,ROW(C108)-ROW(C$15),0)</f>
        <v>F</v>
      </c>
      <c r="D108" s="146" t="str">
        <f ca="1">OFFSET(ORÇAMENTO!N$15,ROW(D108)-ROW(D$15),0)</f>
        <v>Nível 2</v>
      </c>
      <c r="E108" s="206" t="str">
        <f ca="1">OFFSET(ORÇAMENTO!O$15,ROW(E108)-ROW(E$15),0)</f>
        <v>2.3.</v>
      </c>
      <c r="F108" s="207" t="str">
        <f ca="1">OFFSET(ORÇAMENTO!R$15,ROW(F108)-ROW(F$15),0)</f>
        <v>(REVESTIMENTOS)</v>
      </c>
      <c r="G108" s="208" t="str">
        <f ca="1">IF($D108&lt;&gt;"Serviço","",OFFSET(ORÇAMENTO!S$15,ROW(G108)-ROW(G$15),0))</f>
        <v/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 t="str">
        <f ca="1">IF($D108&lt;&gt;"Serviço","",IF(AUTOEVENTO="manual",$A108,IF(ISERROR(MATCH($A108,$A$15:OFFSET($A108,-1,0),0)),MAX($M$15:OFFSET(M108,-1,0))+1,INDEX($M$15:OFFSET(M108,-1,0),MATCH($A108,$A$15:OFFSET($A108,-1,0),0)))))</f>
        <v/>
      </c>
      <c r="N108" s="212" t="str">
        <f ca="1">IF($D108&lt;&gt;"Serviço","",IF(AUTOEVENTO="Manual",IF($A108=0,"&lt;-- defina o número do agrupador",OFFSET(EVENTOS!$D$14,$A108,0)),OFFSET($F$15,$A108,0)))</f>
        <v/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0</v>
      </c>
      <c r="AN108" s="216">
        <f ca="1">IF($D108&lt;&gt;"Serviço",0,IF(AND(AUTOEVENTO="Manual",$M108=1),0,IF(OFFSET(CRONOPLE!$F$14,$M108,AN$13)="",10^12,OFFSET(CRONOPLE!$F$14,$M108,AN$13))))</f>
        <v>0</v>
      </c>
      <c r="AO108" s="216">
        <f ca="1">IF($D108&lt;&gt;"Serviço",0,IF(AND(AUTOEVENTO="Manual",$M108=1),0,IF(OFFSET(CRONOPLE!$F$14,$M108,AO$13)="",10^12,OFFSET(CRONOPLE!$F$14,$M108,AO$13))))</f>
        <v>0</v>
      </c>
      <c r="AP108" s="216">
        <f ca="1">IF($D108&lt;&gt;"Serviço",0,IF(AND(AUTOEVENTO="Manual",$M108=1),0,IF(OFFSET(CRONOPLE!$F$14,$M108,AP$13)="",10^12,OFFSET(CRONOPLE!$F$14,$M108,AP$13))))</f>
        <v>0</v>
      </c>
      <c r="AQ108" s="216">
        <f ca="1">IF($D108&lt;&gt;"Serviço",0,IF(AND(AUTOEVENTO="Manual",$M108=1),0,IF(OFFSET(CRONOPLE!$F$14,$M108,AQ$13)="",10^12,OFFSET(CRONOPLE!$F$14,$M108,AQ$13))))</f>
        <v>0</v>
      </c>
      <c r="AR108" s="216">
        <f ca="1">IF($D108&lt;&gt;"Serviço",0,IF(AND(AUTOEVENTO="Manual",$M108=1),0,IF(OFFSET(CRONOPLE!$F$14,$M108,AR$13)="",10^12,OFFSET(CRONOPLE!$F$14,$M108,AR$13))))</f>
        <v>0</v>
      </c>
      <c r="AS108" s="216">
        <f ca="1">IF($D108&lt;&gt;"Serviço",0,IF(AND(AUTOEVENTO="Manual",$M108=1),0,IF(OFFSET(CRONOPLE!$F$14,$M108,AS$13)="",10^12,OFFSET(CRONOPLE!$F$14,$M108,AS$13))))</f>
        <v>0</v>
      </c>
      <c r="AT108" s="216">
        <f ca="1">IF($D108&lt;&gt;"Serviço",0,IF(AND(AUTOEVENTO="Manual",$M108=1),0,IF(OFFSET(CRONOPLE!$F$14,$M108,AT$13)="",10^12,OFFSET(CRONOPLE!$F$14,$M108,AT$13))))</f>
        <v>0</v>
      </c>
      <c r="AU108" s="216">
        <f ca="1">IF($D108&lt;&gt;"Serviço",0,IF(AND(AUTOEVENTO="Manual",$M108=1),0,IF(OFFSET(CRONOPLE!$F$14,$M108,AU$13)="",10^12,OFFSET(CRONOPLE!$F$14,$M108,AU$13))))</f>
        <v>0</v>
      </c>
      <c r="AV108" s="216">
        <f ca="1">IF($D108&lt;&gt;"Serviço",0,IF(AND(AUTOEVENTO="Manual",$M108=1),0,IF(OFFSET(CRONOPLE!$F$14,$M108,AV$13)="",10^12,OFFSET(CRONOPLE!$F$14,$M108,AV$13))))</f>
        <v>0</v>
      </c>
      <c r="AX108" s="217">
        <f ca="1">IF($D108&lt;&gt;"Serviço",0,IF(OR(AND(AUTOEVENTO="Manual",$M108=1),$M108&gt;(ROW(PLE.lastrow)-ROW(PLE.firstrow))),0,IF(OFFSET(PLE!$G$14,$M108,AX$13)="",10^12,OFFSET(PLE!$G$14,$M108,AX$13))))</f>
        <v>0</v>
      </c>
      <c r="AY108" s="217">
        <f ca="1">IF($D108&lt;&gt;"Serviço",0,IF(OR(AND(AUTOEVENTO="Manual",$M108=1),$M108&gt;(ROW(PLE.lastrow)-ROW(PLE.firstrow))),0,IF(OFFSET(PLE!$G$14,$M108,AY$13)="",10^12,OFFSET(PLE!$G$14,$M108,AY$13))))</f>
        <v>0</v>
      </c>
      <c r="AZ108" s="217">
        <f ca="1">IF($D108&lt;&gt;"Serviço",0,IF(OR(AND(AUTOEVENTO="Manual",$M108=1),$M108&gt;(ROW(PLE.lastrow)-ROW(PLE.firstrow))),0,IF(OFFSET(PLE!$G$14,$M108,AZ$13)="",10^12,OFFSET(PLE!$G$14,$M108,AZ$13))))</f>
        <v>0</v>
      </c>
      <c r="BA108" s="217">
        <f ca="1">IF($D108&lt;&gt;"Serviço",0,IF(OR(AND(AUTOEVENTO="Manual",$M108=1),$M108&gt;(ROW(PLE.lastrow)-ROW(PLE.firstrow))),0,IF(OFFSET(PLE!$G$14,$M108,BA$13)="",10^12,OFFSET(PLE!$G$14,$M108,BA$13))))</f>
        <v>0</v>
      </c>
      <c r="BB108" s="217">
        <f ca="1">IF($D108&lt;&gt;"Serviço",0,IF(OR(AND(AUTOEVENTO="Manual",$M108=1),$M108&gt;(ROW(PLE.lastrow)-ROW(PLE.firstrow))),0,IF(OFFSET(PLE!$G$14,$M108,BB$13)="",10^12,OFFSET(PLE!$G$14,$M108,BB$13))))</f>
        <v>0</v>
      </c>
      <c r="BC108" s="217">
        <f ca="1">IF($D108&lt;&gt;"Serviço",0,IF(OR(AND(AUTOEVENTO="Manual",$M108=1),$M108&gt;(ROW(PLE.lastrow)-ROW(PLE.firstrow))),0,IF(OFFSET(PLE!$G$14,$M108,BC$13)="",10^12,OFFSET(PLE!$G$14,$M108,BC$13))))</f>
        <v>0</v>
      </c>
      <c r="BD108" s="217">
        <f ca="1">IF($D108&lt;&gt;"Serviço",0,IF(OR(AND(AUTOEVENTO="Manual",$M108=1),$M108&gt;(ROW(PLE.lastrow)-ROW(PLE.firstrow))),0,IF(OFFSET(PLE!$G$14,$M108,BD$13)="",10^12,OFFSET(PLE!$G$14,$M108,BD$13))))</f>
        <v>0</v>
      </c>
      <c r="BE108" s="217">
        <f ca="1">IF($D108&lt;&gt;"Serviço",0,IF(OR(AND(AUTOEVENTO="Manual",$M108=1),$M108&gt;(ROW(PLE.lastrow)-ROW(PLE.firstrow))),0,IF(OFFSET(PLE!$G$14,$M108,BE$13)="",10^12,OFFSET(PLE!$G$14,$M108,BE$13))))</f>
        <v>0</v>
      </c>
      <c r="BF108" s="217">
        <f ca="1">IF($D108&lt;&gt;"Serviço",0,IF(OR(AND(AUTOEVENTO="Manual",$M108=1),$M108&gt;(ROW(PLE.lastrow)-ROW(PLE.firstrow))),0,IF(OFFSET(PLE!$G$14,$M108,BF$13)="",10^12,OFFSET(PLE!$G$14,$M108,BF$13))))</f>
        <v>0</v>
      </c>
      <c r="BG108" s="217">
        <f ca="1">IF($D108&lt;&gt;"Serviço",0,IF(OR(AND(AUTOEVENTO="Manual",$M108=1),$M108&gt;(ROW(PLE.lastrow)-ROW(PLE.firstrow))),0,IF(OFFSET(PLE!$G$14,$M108,BG$13)="",10^12,OFFSET(PLE!$G$14,$M108,BG$13))))</f>
        <v>0</v>
      </c>
    </row>
    <row r="109" spans="1:59" ht="12.75" x14ac:dyDescent="0.2">
      <c r="A109" s="9" t="str">
        <f t="shared" ca="1" si="9"/>
        <v>93</v>
      </c>
      <c r="B109" s="9" t="str">
        <f ca="1">OFFSET(ORÇAMENTO!C$15,ROW(B109)-ROW(B$15),0)</f>
        <v>S</v>
      </c>
      <c r="C109" s="9" t="str">
        <f ca="1">OFFSET(ORÇAMENTO!L$15,ROW(C109)-ROW(C$15),0)</f>
        <v>F</v>
      </c>
      <c r="D109" s="146" t="str">
        <f ca="1">OFFSET(ORÇAMENTO!N$15,ROW(D109)-ROW(D$15),0)</f>
        <v>Serviço</v>
      </c>
      <c r="E109" s="206" t="str">
        <f ca="1">OFFSET(ORÇAMENTO!O$15,ROW(E109)-ROW(E$15),0)</f>
        <v>2.3.1.</v>
      </c>
      <c r="F109" s="207" t="str">
        <f ca="1">OFFSET(ORÇAMENTO!R$15,ROW(F109)-ROW(F$15),0)</f>
        <v>CONTRAPISO EM ARGAMASSA TRAÇO 1:4 (CIMENTO E AREIA), PREPARO MECÂNICO COM BETONEIRA 400 L, APLICADO EM ÁREAS SECAS SOBRE LAJE, NÃO ADERIDO, ESPESSURA 6CM. AF_06/2014</v>
      </c>
      <c r="G109" s="208" t="str">
        <f ca="1">IF($D109&lt;&gt;"Serviço","",OFFSET(ORÇAMENTO!S$15,ROW(G109)-ROW(G$15),0))</f>
        <v>M2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48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10</v>
      </c>
      <c r="N109" s="212" t="str">
        <f ca="1">IF($D109&lt;&gt;"Serviço","",IF(AUTOEVENTO="Manual",IF($A109=0,"&lt;-- defina o número do agrupador",OFFSET(EVENTOS!$D$14,$A109,0)),OFFSET($F$15,$A109,0)))</f>
        <v>(REVESTIMENTOS)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93</v>
      </c>
      <c r="B110" s="9" t="str">
        <f ca="1">OFFSET(ORÇAMENTO!C$15,ROW(B110)-ROW(B$15),0)</f>
        <v>S</v>
      </c>
      <c r="C110" s="9" t="str">
        <f ca="1">OFFSET(ORÇAMENTO!L$15,ROW(C110)-ROW(C$15),0)</f>
        <v>F</v>
      </c>
      <c r="D110" s="146" t="str">
        <f ca="1">OFFSET(ORÇAMENTO!N$15,ROW(D110)-ROW(D$15),0)</f>
        <v>Serviço</v>
      </c>
      <c r="E110" s="206" t="str">
        <f ca="1">OFFSET(ORÇAMENTO!O$15,ROW(E110)-ROW(E$15),0)</f>
        <v>2.3.2.</v>
      </c>
      <c r="F110" s="207" t="str">
        <f ca="1">OFFSET(ORÇAMENTO!R$15,ROW(F110)-ROW(F$15),0)</f>
        <v>CHAPISCO APLICADO SOMENTE EM ESTRUTURAS DE CONCRETO EM ALVENARIAS INTERNAS, COM DESEMPENADEIRA DENTADA. ARGAMASSA INDUSTRIALIZADA COM PREPARO MANUAL. AF_06/2014</v>
      </c>
      <c r="G110" s="208" t="str">
        <f ca="1">IF($D110&lt;&gt;"Serviço","",OFFSET(ORÇAMENTO!S$15,ROW(G110)-ROW(G$15),0))</f>
        <v>M2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68.56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10</v>
      </c>
      <c r="N110" s="212" t="str">
        <f ca="1">IF($D110&lt;&gt;"Serviço","",IF(AUTOEVENTO="Manual",IF($A110=0,"&lt;-- defina o número do agrupador",OFFSET(EVENTOS!$D$14,$A110,0)),OFFSET($F$15,$A110,0)))</f>
        <v>(REVESTIMENTOS)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93</v>
      </c>
      <c r="B111" s="9" t="str">
        <f ca="1">OFFSET(ORÇAMENTO!C$15,ROW(B111)-ROW(B$15),0)</f>
        <v>S</v>
      </c>
      <c r="C111" s="9" t="str">
        <f ca="1">OFFSET(ORÇAMENTO!L$15,ROW(C111)-ROW(C$15),0)</f>
        <v>F</v>
      </c>
      <c r="D111" s="146" t="str">
        <f ca="1">OFFSET(ORÇAMENTO!N$15,ROW(D111)-ROW(D$15),0)</f>
        <v>Serviço</v>
      </c>
      <c r="E111" s="206" t="str">
        <f ca="1">OFFSET(ORÇAMENTO!O$15,ROW(E111)-ROW(E$15),0)</f>
        <v>2.3.3.</v>
      </c>
      <c r="F111" s="207" t="str">
        <f ca="1">OFFSET(ORÇAMENTO!R$15,ROW(F111)-ROW(F$15),0)</f>
        <v>CHAPISCO APLICADO EM ALVENARIA (SEM PRESENÇA DE VÃOS) E ESTRUTURAS DE CONCRETO DE FACHADA, COM ROLO PARA TEXTURA ACRÍLICA.  ARGAMASSA TRAÇO 1:4 E EMULSÃO POLIMÉRICA (ADESIVO) COM PREPARO MANUAL. AF_06/2014</v>
      </c>
      <c r="G111" s="208" t="str">
        <f ca="1">IF($D111&lt;&gt;"Serviço","",OFFSET(ORÇAMENTO!S$15,ROW(G111)-ROW(G$15),0))</f>
        <v>M2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76.56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10</v>
      </c>
      <c r="N111" s="212" t="str">
        <f ca="1">IF($D111&lt;&gt;"Serviço","",IF(AUTOEVENTO="Manual",IF($A111=0,"&lt;-- defina o número do agrupador",OFFSET(EVENTOS!$D$14,$A111,0)),OFFSET($F$15,$A111,0)))</f>
        <v>(REVESTIMENTOS)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93</v>
      </c>
      <c r="B112" s="9" t="str">
        <f ca="1">OFFSET(ORÇAMENTO!C$15,ROW(B112)-ROW(B$15),0)</f>
        <v>S</v>
      </c>
      <c r="C112" s="9" t="str">
        <f ca="1">OFFSET(ORÇAMENTO!L$15,ROW(C112)-ROW(C$15),0)</f>
        <v>F</v>
      </c>
      <c r="D112" s="146" t="str">
        <f ca="1">OFFSET(ORÇAMENTO!N$15,ROW(D112)-ROW(D$15),0)</f>
        <v>Serviço</v>
      </c>
      <c r="E112" s="206" t="str">
        <f ca="1">OFFSET(ORÇAMENTO!O$15,ROW(E112)-ROW(E$15),0)</f>
        <v>2.3.4.</v>
      </c>
      <c r="F112" s="207" t="str">
        <f ca="1">OFFSET(ORÇAMENTO!R$15,ROW(F112)-ROW(F$15),0)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112" s="208" t="str">
        <f ca="1">IF($D112&lt;&gt;"Serviço","",OFFSET(ORÇAMENTO!S$15,ROW(G112)-ROW(G$15),0))</f>
        <v>M2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68.56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10</v>
      </c>
      <c r="N112" s="212" t="str">
        <f ca="1">IF($D112&lt;&gt;"Serviço","",IF(AUTOEVENTO="Manual",IF($A112=0,"&lt;-- defina o número do agrupador",OFFSET(EVENTOS!$D$14,$A112,0)),OFFSET($F$15,$A112,0)))</f>
        <v>(REVESTIMENTOS)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93</v>
      </c>
      <c r="B113" s="9" t="str">
        <f ca="1">OFFSET(ORÇAMENTO!C$15,ROW(B113)-ROW(B$15),0)</f>
        <v>S</v>
      </c>
      <c r="C113" s="9" t="str">
        <f ca="1">OFFSET(ORÇAMENTO!L$15,ROW(C113)-ROW(C$15),0)</f>
        <v>F</v>
      </c>
      <c r="D113" s="146" t="str">
        <f ca="1">OFFSET(ORÇAMENTO!N$15,ROW(D113)-ROW(D$15),0)</f>
        <v>Serviço</v>
      </c>
      <c r="E113" s="206" t="str">
        <f ca="1">OFFSET(ORÇAMENTO!O$15,ROW(E113)-ROW(E$15),0)</f>
        <v>2.3.5.</v>
      </c>
      <c r="F113" s="207" t="str">
        <f ca="1">OFFSET(ORÇAMENTO!R$15,ROW(F113)-ROW(F$15),0)</f>
        <v>EMBOÇO OU MASSA ÚNICA EM ARGAMASSA TRAÇO 1:2:8, PREPARO MANUAL, APLICADA MANUALMENTE EM PANOS DE FACHADA COM PRESENÇA DE VÃOS, ESPESSURA DE 25 MM. AF_06/2014</v>
      </c>
      <c r="G113" s="208" t="str">
        <f ca="1">IF($D113&lt;&gt;"Serviço","",OFFSET(ORÇAMENTO!S$15,ROW(G113)-ROW(G$15),0))</f>
        <v>M2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76.56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10</v>
      </c>
      <c r="N113" s="212" t="str">
        <f ca="1">IF($D113&lt;&gt;"Serviço","",IF(AUTOEVENTO="Manual",IF($A113=0,"&lt;-- defina o número do agrupador",OFFSET(EVENTOS!$D$14,$A113,0)),OFFSET($F$15,$A113,0)))</f>
        <v>(REVESTIMENTOS)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93</v>
      </c>
      <c r="B114" s="9" t="str">
        <f ca="1">OFFSET(ORÇAMENTO!C$15,ROW(B114)-ROW(B$15),0)</f>
        <v>S</v>
      </c>
      <c r="C114" s="9" t="str">
        <f ca="1">OFFSET(ORÇAMENTO!L$15,ROW(C114)-ROW(C$15),0)</f>
        <v>F</v>
      </c>
      <c r="D114" s="146" t="str">
        <f ca="1">OFFSET(ORÇAMENTO!N$15,ROW(D114)-ROW(D$15),0)</f>
        <v>Serviço</v>
      </c>
      <c r="E114" s="206" t="str">
        <f ca="1">OFFSET(ORÇAMENTO!O$15,ROW(E114)-ROW(E$15),0)</f>
        <v>2.3.6.</v>
      </c>
      <c r="F114" s="207" t="str">
        <f ca="1">OFFSET(ORÇAMENTO!R$15,ROW(F114)-ROW(F$15),0)</f>
        <v>(COMPOSIÇÃO REPRESENTATIVA) DO SERVIÇO DE REVESTIMENTO CERÂMICO PARA PISO COM PLACAS TIPO GRÉS DE DIMENSÕES 35X35 CM, PARA EDIFICAÇÃO HABITACIONAL UNIFAMILIAR (CASA) E EDIFICAÇÃO PÚBLICA PADRÃO. AF_11/2014</v>
      </c>
      <c r="G114" s="208" t="str">
        <f ca="1">IF($D114&lt;&gt;"Serviço","",OFFSET(ORÇAMENTO!S$15,ROW(G114)-ROW(G$15),0))</f>
        <v>M2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48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10</v>
      </c>
      <c r="N114" s="212" t="str">
        <f ca="1">IF($D114&lt;&gt;"Serviço","",IF(AUTOEVENTO="Manual",IF($A114=0,"&lt;-- defina o número do agrupador",OFFSET(EVENTOS!$D$14,$A114,0)),OFFSET($F$15,$A114,0)))</f>
        <v>(REVESTIMENTOS)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93</v>
      </c>
      <c r="B115" s="9" t="str">
        <f ca="1">OFFSET(ORÇAMENTO!C$15,ROW(B115)-ROW(B$15),0)</f>
        <v>S</v>
      </c>
      <c r="C115" s="9" t="str">
        <f ca="1">OFFSET(ORÇAMENTO!L$15,ROW(C115)-ROW(C$15),0)</f>
        <v>F</v>
      </c>
      <c r="D115" s="146" t="str">
        <f ca="1">OFFSET(ORÇAMENTO!N$15,ROW(D115)-ROW(D$15),0)</f>
        <v>Serviço</v>
      </c>
      <c r="E115" s="206" t="str">
        <f ca="1">OFFSET(ORÇAMENTO!O$15,ROW(E115)-ROW(E$15),0)</f>
        <v>2.3.7.</v>
      </c>
      <c r="F115" s="207" t="str">
        <f ca="1">OFFSET(ORÇAMENTO!R$15,ROW(F115)-ROW(F$15),0)</f>
        <v>REJUNTE COLORIDO, CIMENTICIO</v>
      </c>
      <c r="G115" s="208" t="str">
        <f ca="1">IF($D115&lt;&gt;"Serviço","",OFFSET(ORÇAMENTO!S$15,ROW(G115)-ROW(G$15),0))</f>
        <v xml:space="preserve">KG    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11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10</v>
      </c>
      <c r="N115" s="212" t="str">
        <f ca="1">IF($D115&lt;&gt;"Serviço","",IF(AUTOEVENTO="Manual",IF($A115=0,"&lt;-- defina o número do agrupador",OFFSET(EVENTOS!$D$14,$A115,0)),OFFSET($F$15,$A115,0)))</f>
        <v>(REVESTIMENTOS)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93</v>
      </c>
      <c r="B116" s="9" t="str">
        <f ca="1">OFFSET(ORÇAMENTO!C$15,ROW(B116)-ROW(B$15),0)</f>
        <v>S</v>
      </c>
      <c r="C116" s="9" t="str">
        <f ca="1">OFFSET(ORÇAMENTO!L$15,ROW(C116)-ROW(C$15),0)</f>
        <v>F</v>
      </c>
      <c r="D116" s="146" t="str">
        <f ca="1">OFFSET(ORÇAMENTO!N$15,ROW(D116)-ROW(D$15),0)</f>
        <v>Serviço</v>
      </c>
      <c r="E116" s="206" t="str">
        <f ca="1">OFFSET(ORÇAMENTO!O$15,ROW(E116)-ROW(E$15),0)</f>
        <v>2.3.8.</v>
      </c>
      <c r="F116" s="207" t="str">
        <f ca="1">OFFSET(ORÇAMENTO!R$15,ROW(F116)-ROW(F$15),0)</f>
        <v>APLICAÇÃO MANUAL DE PINTURA COM TINTA TEXTURIZADA ACRÍLICA EM PANOS CEGOS DE FACHADA (SEM PRESENÇA DE VÃOS) DE EDIFÍCIOS DE MÚLTIPLOS PAVIMENTOS, UMA COR. AF_06/2014</v>
      </c>
      <c r="G116" s="208" t="str">
        <f ca="1">IF($D116&lt;&gt;"Serviço","",OFFSET(ORÇAMENTO!S$15,ROW(G116)-ROW(G$15),0))</f>
        <v>M2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76.56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10</v>
      </c>
      <c r="N116" s="212" t="str">
        <f ca="1">IF($D116&lt;&gt;"Serviço","",IF(AUTOEVENTO="Manual",IF($A116=0,"&lt;-- defina o número do agrupador",OFFSET(EVENTOS!$D$14,$A116,0)),OFFSET($F$15,$A116,0)))</f>
        <v>(REVESTIMENTOS)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93</v>
      </c>
      <c r="B117" s="9" t="str">
        <f ca="1">OFFSET(ORÇAMENTO!C$15,ROW(B117)-ROW(B$15),0)</f>
        <v>S</v>
      </c>
      <c r="C117" s="9" t="str">
        <f ca="1">OFFSET(ORÇAMENTO!L$15,ROW(C117)-ROW(C$15),0)</f>
        <v>F</v>
      </c>
      <c r="D117" s="146" t="str">
        <f ca="1">OFFSET(ORÇAMENTO!N$15,ROW(D117)-ROW(D$15),0)</f>
        <v>Serviço</v>
      </c>
      <c r="E117" s="206" t="str">
        <f ca="1">OFFSET(ORÇAMENTO!O$15,ROW(E117)-ROW(E$15),0)</f>
        <v>2.3.9.</v>
      </c>
      <c r="F117" s="207" t="str">
        <f ca="1">OFFSET(ORÇAMENTO!R$15,ROW(F117)-ROW(F$15),0)</f>
        <v>APLICAÇÃO MANUAL DE PINTURA COM TINTA TEXTURIZADA ACRÍLICA EM SUPERFÍCIES INTERNAS DA SACADA DE EDIFÍCIOS DE MÚLTIPLOS PAVIMENTOS, UMA COR. AF_06/2014</v>
      </c>
      <c r="G117" s="208" t="str">
        <f ca="1">IF($D117&lt;&gt;"Serviço","",OFFSET(ORÇAMENTO!S$15,ROW(G117)-ROW(G$15),0))</f>
        <v>M2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68.56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10</v>
      </c>
      <c r="N117" s="212" t="str">
        <f ca="1">IF($D117&lt;&gt;"Serviço","",IF(AUTOEVENTO="Manual",IF($A117=0,"&lt;-- defina o número do agrupador",OFFSET(EVENTOS!$D$14,$A117,0)),OFFSET($F$15,$A117,0)))</f>
        <v>(REVESTIMENTOS)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93</v>
      </c>
      <c r="B118" s="9" t="str">
        <f ca="1">OFFSET(ORÇAMENTO!C$15,ROW(B118)-ROW(B$15),0)</f>
        <v>S</v>
      </c>
      <c r="C118" s="9" t="str">
        <f ca="1">OFFSET(ORÇAMENTO!L$15,ROW(C118)-ROW(C$15),0)</f>
        <v>F</v>
      </c>
      <c r="D118" s="146" t="str">
        <f ca="1">OFFSET(ORÇAMENTO!N$15,ROW(D118)-ROW(D$15),0)</f>
        <v>Serviço</v>
      </c>
      <c r="E118" s="206" t="str">
        <f ca="1">OFFSET(ORÇAMENTO!O$15,ROW(E118)-ROW(E$15),0)</f>
        <v>2.3.10.</v>
      </c>
      <c r="F118" s="207" t="str">
        <f ca="1">OFFSET(ORÇAMENTO!R$15,ROW(F118)-ROW(F$15),0)</f>
        <v>SOLEIRA/ PEITORIL EM MARMORE, POLIDO, BRANCO COMUM, L= *15* CM, E=  *2* CM,  CORTE RETO</v>
      </c>
      <c r="G118" s="208" t="str">
        <f ca="1">IF($D118&lt;&gt;"Serviço","",OFFSET(ORÇAMENTO!S$15,ROW(G118)-ROW(G$15),0))</f>
        <v xml:space="preserve">M     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6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10</v>
      </c>
      <c r="N118" s="212" t="str">
        <f ca="1">IF($D118&lt;&gt;"Serviço","",IF(AUTOEVENTO="Manual",IF($A118=0,"&lt;-- defina o número do agrupador",OFFSET(EVENTOS!$D$14,$A118,0)),OFFSET($F$15,$A118,0)))</f>
        <v>(REVESTIMENTOS)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93</v>
      </c>
      <c r="B119" s="9" t="str">
        <f ca="1">OFFSET(ORÇAMENTO!C$15,ROW(B119)-ROW(B$15),0)</f>
        <v>S</v>
      </c>
      <c r="C119" s="9" t="str">
        <f ca="1">OFFSET(ORÇAMENTO!L$15,ROW(C119)-ROW(C$15),0)</f>
        <v>F</v>
      </c>
      <c r="D119" s="146" t="str">
        <f ca="1">OFFSET(ORÇAMENTO!N$15,ROW(D119)-ROW(D$15),0)</f>
        <v>Serviço</v>
      </c>
      <c r="E119" s="206" t="str">
        <f ca="1">OFFSET(ORÇAMENTO!O$15,ROW(E119)-ROW(E$15),0)</f>
        <v>2.3.11.</v>
      </c>
      <c r="F119" s="207" t="str">
        <f ca="1">OFFSET(ORÇAMENTO!R$15,ROW(F119)-ROW(F$15),0)</f>
        <v>RODAPÉ CERÂMICO DE 7CM DE ALTURA COM PLACAS TIPO ESMALTADA EXTRA  DE DIMENSÕES 35X35CM. AF_06/2014</v>
      </c>
      <c r="G119" s="208" t="str">
        <f ca="1">IF($D119&lt;&gt;"Serviço","",OFFSET(ORÇAMENTO!S$15,ROW(G119)-ROW(G$15),0))</f>
        <v>M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28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10</v>
      </c>
      <c r="N119" s="212" t="str">
        <f ca="1">IF($D119&lt;&gt;"Serviço","",IF(AUTOEVENTO="Manual",IF($A119=0,"&lt;-- defina o número do agrupador",OFFSET(EVENTOS!$D$14,$A119,0)),OFFSET($F$15,$A119,0)))</f>
        <v>(REVESTIMENTOS)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105.</v>
      </c>
      <c r="B120" s="9">
        <f ca="1">OFFSET(ORÇAMENTO!C$15,ROW(B120)-ROW(B$15),0)</f>
        <v>2</v>
      </c>
      <c r="C120" s="9" t="str">
        <f ca="1">OFFSET(ORÇAMENTO!L$15,ROW(C120)-ROW(C$15),0)</f>
        <v>F</v>
      </c>
      <c r="D120" s="146" t="str">
        <f ca="1">OFFSET(ORÇAMENTO!N$15,ROW(D120)-ROW(D$15),0)</f>
        <v>Nível 2</v>
      </c>
      <c r="E120" s="206" t="str">
        <f ca="1">OFFSET(ORÇAMENTO!O$15,ROW(E120)-ROW(E$15),0)</f>
        <v>2.4.</v>
      </c>
      <c r="F120" s="207" t="str">
        <f ca="1">OFFSET(ORÇAMENTO!R$15,ROW(F120)-ROW(F$15),0)</f>
        <v>(ESQUADRIAS METALICAS / PORTAS METALICAS)</v>
      </c>
      <c r="G120" s="208" t="str">
        <f ca="1">IF($D120&lt;&gt;"Serviço","",OFFSET(ORÇAMENTO!S$15,ROW(G120)-ROW(G$15),0))</f>
        <v/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 t="str">
        <f ca="1">IF($D120&lt;&gt;"Serviço","",IF(AUTOEVENTO="manual",$A120,IF(ISERROR(MATCH($A120,$A$15:OFFSET($A120,-1,0),0)),MAX($M$15:OFFSET(M120,-1,0))+1,INDEX($M$15:OFFSET(M120,-1,0),MATCH($A120,$A$15:OFFSET($A120,-1,0),0)))))</f>
        <v/>
      </c>
      <c r="N120" s="212" t="str">
        <f ca="1">IF($D120&lt;&gt;"Serviço","",IF(AUTOEVENTO="Manual",IF($A120=0,"&lt;-- defina o número do agrupador",OFFSET(EVENTOS!$D$14,$A120,0)),OFFSET($F$15,$A120,0)))</f>
        <v/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0</v>
      </c>
      <c r="AN120" s="216">
        <f ca="1">IF($D120&lt;&gt;"Serviço",0,IF(AND(AUTOEVENTO="Manual",$M120=1),0,IF(OFFSET(CRONOPLE!$F$14,$M120,AN$13)="",10^12,OFFSET(CRONOPLE!$F$14,$M120,AN$13))))</f>
        <v>0</v>
      </c>
      <c r="AO120" s="216">
        <f ca="1">IF($D120&lt;&gt;"Serviço",0,IF(AND(AUTOEVENTO="Manual",$M120=1),0,IF(OFFSET(CRONOPLE!$F$14,$M120,AO$13)="",10^12,OFFSET(CRONOPLE!$F$14,$M120,AO$13))))</f>
        <v>0</v>
      </c>
      <c r="AP120" s="216">
        <f ca="1">IF($D120&lt;&gt;"Serviço",0,IF(AND(AUTOEVENTO="Manual",$M120=1),0,IF(OFFSET(CRONOPLE!$F$14,$M120,AP$13)="",10^12,OFFSET(CRONOPLE!$F$14,$M120,AP$13))))</f>
        <v>0</v>
      </c>
      <c r="AQ120" s="216">
        <f ca="1">IF($D120&lt;&gt;"Serviço",0,IF(AND(AUTOEVENTO="Manual",$M120=1),0,IF(OFFSET(CRONOPLE!$F$14,$M120,AQ$13)="",10^12,OFFSET(CRONOPLE!$F$14,$M120,AQ$13))))</f>
        <v>0</v>
      </c>
      <c r="AR120" s="216">
        <f ca="1">IF($D120&lt;&gt;"Serviço",0,IF(AND(AUTOEVENTO="Manual",$M120=1),0,IF(OFFSET(CRONOPLE!$F$14,$M120,AR$13)="",10^12,OFFSET(CRONOPLE!$F$14,$M120,AR$13))))</f>
        <v>0</v>
      </c>
      <c r="AS120" s="216">
        <f ca="1">IF($D120&lt;&gt;"Serviço",0,IF(AND(AUTOEVENTO="Manual",$M120=1),0,IF(OFFSET(CRONOPLE!$F$14,$M120,AS$13)="",10^12,OFFSET(CRONOPLE!$F$14,$M120,AS$13))))</f>
        <v>0</v>
      </c>
      <c r="AT120" s="216">
        <f ca="1">IF($D120&lt;&gt;"Serviço",0,IF(AND(AUTOEVENTO="Manual",$M120=1),0,IF(OFFSET(CRONOPLE!$F$14,$M120,AT$13)="",10^12,OFFSET(CRONOPLE!$F$14,$M120,AT$13))))</f>
        <v>0</v>
      </c>
      <c r="AU120" s="216">
        <f ca="1">IF($D120&lt;&gt;"Serviço",0,IF(AND(AUTOEVENTO="Manual",$M120=1),0,IF(OFFSET(CRONOPLE!$F$14,$M120,AU$13)="",10^12,OFFSET(CRONOPLE!$F$14,$M120,AU$13))))</f>
        <v>0</v>
      </c>
      <c r="AV120" s="216">
        <f ca="1">IF($D120&lt;&gt;"Serviço",0,IF(AND(AUTOEVENTO="Manual",$M120=1),0,IF(OFFSET(CRONOPLE!$F$14,$M120,AV$13)="",10^12,OFFSET(CRONOPLE!$F$14,$M120,AV$13))))</f>
        <v>0</v>
      </c>
      <c r="AX120" s="217">
        <f ca="1">IF($D120&lt;&gt;"Serviço",0,IF(OR(AND(AUTOEVENTO="Manual",$M120=1),$M120&gt;(ROW(PLE.lastrow)-ROW(PLE.firstrow))),0,IF(OFFSET(PLE!$G$14,$M120,AX$13)="",10^12,OFFSET(PLE!$G$14,$M120,AX$13))))</f>
        <v>0</v>
      </c>
      <c r="AY120" s="217">
        <f ca="1">IF($D120&lt;&gt;"Serviço",0,IF(OR(AND(AUTOEVENTO="Manual",$M120=1),$M120&gt;(ROW(PLE.lastrow)-ROW(PLE.firstrow))),0,IF(OFFSET(PLE!$G$14,$M120,AY$13)="",10^12,OFFSET(PLE!$G$14,$M120,AY$13))))</f>
        <v>0</v>
      </c>
      <c r="AZ120" s="217">
        <f ca="1">IF($D120&lt;&gt;"Serviço",0,IF(OR(AND(AUTOEVENTO="Manual",$M120=1),$M120&gt;(ROW(PLE.lastrow)-ROW(PLE.firstrow))),0,IF(OFFSET(PLE!$G$14,$M120,AZ$13)="",10^12,OFFSET(PLE!$G$14,$M120,AZ$13))))</f>
        <v>0</v>
      </c>
      <c r="BA120" s="217">
        <f ca="1">IF($D120&lt;&gt;"Serviço",0,IF(OR(AND(AUTOEVENTO="Manual",$M120=1),$M120&gt;(ROW(PLE.lastrow)-ROW(PLE.firstrow))),0,IF(OFFSET(PLE!$G$14,$M120,BA$13)="",10^12,OFFSET(PLE!$G$14,$M120,BA$13))))</f>
        <v>0</v>
      </c>
      <c r="BB120" s="217">
        <f ca="1">IF($D120&lt;&gt;"Serviço",0,IF(OR(AND(AUTOEVENTO="Manual",$M120=1),$M120&gt;(ROW(PLE.lastrow)-ROW(PLE.firstrow))),0,IF(OFFSET(PLE!$G$14,$M120,BB$13)="",10^12,OFFSET(PLE!$G$14,$M120,BB$13))))</f>
        <v>0</v>
      </c>
      <c r="BC120" s="217">
        <f ca="1">IF($D120&lt;&gt;"Serviço",0,IF(OR(AND(AUTOEVENTO="Manual",$M120=1),$M120&gt;(ROW(PLE.lastrow)-ROW(PLE.firstrow))),0,IF(OFFSET(PLE!$G$14,$M120,BC$13)="",10^12,OFFSET(PLE!$G$14,$M120,BC$13))))</f>
        <v>0</v>
      </c>
      <c r="BD120" s="217">
        <f ca="1">IF($D120&lt;&gt;"Serviço",0,IF(OR(AND(AUTOEVENTO="Manual",$M120=1),$M120&gt;(ROW(PLE.lastrow)-ROW(PLE.firstrow))),0,IF(OFFSET(PLE!$G$14,$M120,BD$13)="",10^12,OFFSET(PLE!$G$14,$M120,BD$13))))</f>
        <v>0</v>
      </c>
      <c r="BE120" s="217">
        <f ca="1">IF($D120&lt;&gt;"Serviço",0,IF(OR(AND(AUTOEVENTO="Manual",$M120=1),$M120&gt;(ROW(PLE.lastrow)-ROW(PLE.firstrow))),0,IF(OFFSET(PLE!$G$14,$M120,BE$13)="",10^12,OFFSET(PLE!$G$14,$M120,BE$13))))</f>
        <v>0</v>
      </c>
      <c r="BF120" s="217">
        <f ca="1">IF($D120&lt;&gt;"Serviço",0,IF(OR(AND(AUTOEVENTO="Manual",$M120=1),$M120&gt;(ROW(PLE.lastrow)-ROW(PLE.firstrow))),0,IF(OFFSET(PLE!$G$14,$M120,BF$13)="",10^12,OFFSET(PLE!$G$14,$M120,BF$13))))</f>
        <v>0</v>
      </c>
      <c r="BG120" s="217">
        <f ca="1">IF($D120&lt;&gt;"Serviço",0,IF(OR(AND(AUTOEVENTO="Manual",$M120=1),$M120&gt;(ROW(PLE.lastrow)-ROW(PLE.firstrow))),0,IF(OFFSET(PLE!$G$14,$M120,BG$13)="",10^12,OFFSET(PLE!$G$14,$M120,BG$13))))</f>
        <v>0</v>
      </c>
    </row>
    <row r="121" spans="1:59" ht="25.5" x14ac:dyDescent="0.2">
      <c r="A121" s="9" t="str">
        <f t="shared" ca="1" si="9"/>
        <v>105</v>
      </c>
      <c r="B121" s="9" t="str">
        <f ca="1">OFFSET(ORÇAMENTO!C$15,ROW(B121)-ROW(B$15),0)</f>
        <v>S</v>
      </c>
      <c r="C121" s="9" t="str">
        <f ca="1">OFFSET(ORÇAMENTO!L$15,ROW(C121)-ROW(C$15),0)</f>
        <v>F</v>
      </c>
      <c r="D121" s="146" t="str">
        <f ca="1">OFFSET(ORÇAMENTO!N$15,ROW(D121)-ROW(D$15),0)</f>
        <v>Serviço</v>
      </c>
      <c r="E121" s="206" t="str">
        <f ca="1">OFFSET(ORÇAMENTO!O$15,ROW(E121)-ROW(E$15),0)</f>
        <v>2.4.1.</v>
      </c>
      <c r="F121" s="207" t="str">
        <f ca="1">OFFSET(ORÇAMENTO!R$15,ROW(F121)-ROW(F$15),0)</f>
        <v>JANELA DE AÇO TIPO BASCULANTE PARA VIDROS, COM BATENTE, FERRAGENS E PINTURA ANTICORROSIVA. EXCLUSIVE VIDROS, ACABAMENTO, ALIZAR E CONTRAMARCO. FORNECIMENTO E INSTALAÇÃO. AF_12/2019</v>
      </c>
      <c r="G121" s="208" t="str">
        <f ca="1">IF($D121&lt;&gt;"Serviço","",OFFSET(ORÇAMENTO!S$15,ROW(G121)-ROW(G$15),0))</f>
        <v>M2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1.92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11</v>
      </c>
      <c r="N121" s="212" t="str">
        <f ca="1">IF($D121&lt;&gt;"Serviço","",IF(AUTOEVENTO="Manual",IF($A121=0,"&lt;-- defina o número do agrupador",OFFSET(EVENTOS!$D$14,$A121,0)),OFFSET($F$15,$A121,0)))</f>
        <v>(ESQUADRIAS METALICAS / PORTAS METALICAS)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25.5" x14ac:dyDescent="0.2">
      <c r="A122" s="9" t="str">
        <f t="shared" ca="1" si="9"/>
        <v>105</v>
      </c>
      <c r="B122" s="9" t="str">
        <f ca="1">OFFSET(ORÇAMENTO!C$15,ROW(B122)-ROW(B$15),0)</f>
        <v>S</v>
      </c>
      <c r="C122" s="9" t="str">
        <f ca="1">OFFSET(ORÇAMENTO!L$15,ROW(C122)-ROW(C$15),0)</f>
        <v>F</v>
      </c>
      <c r="D122" s="146" t="str">
        <f ca="1">OFFSET(ORÇAMENTO!N$15,ROW(D122)-ROW(D$15),0)</f>
        <v>Serviço</v>
      </c>
      <c r="E122" s="206" t="str">
        <f ca="1">OFFSET(ORÇAMENTO!O$15,ROW(E122)-ROW(E$15),0)</f>
        <v>2.4.2.</v>
      </c>
      <c r="F122" s="207" t="str">
        <f ca="1">OFFSET(ORÇAMENTO!R$15,ROW(F122)-ROW(F$15),0)</f>
        <v>JANELA DE CORRER EM ALUMINIO, VENEZIANA, 120  X 150 CM (A X L), 3 FLS (2 VENEZIANAS E 1 VIDRO), SEM BANDEIRA, ACABAMENTO ACET OU BRILHANTE, BATENTE/REQUADRO DE 6 A 14 CM, COM VIDRO, SEM GUARNICAO/ALIZAR</v>
      </c>
      <c r="G122" s="208" t="str">
        <f ca="1">IF($D122&lt;&gt;"Serviço","",OFFSET(ORÇAMENTO!S$15,ROW(G122)-ROW(G$15),0))</f>
        <v xml:space="preserve">UN    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3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11</v>
      </c>
      <c r="N122" s="212" t="str">
        <f ca="1">IF($D122&lt;&gt;"Serviço","",IF(AUTOEVENTO="Manual",IF($A122=0,"&lt;-- defina o número do agrupador",OFFSET(EVENTOS!$D$14,$A122,0)),OFFSET($F$15,$A122,0)))</f>
        <v>(ESQUADRIAS METALICAS / PORTAS METALICAS)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25.5" x14ac:dyDescent="0.2">
      <c r="A123" s="9" t="str">
        <f t="shared" ca="1" si="9"/>
        <v>105</v>
      </c>
      <c r="B123" s="9" t="str">
        <f ca="1">OFFSET(ORÇAMENTO!C$15,ROW(B123)-ROW(B$15),0)</f>
        <v>S</v>
      </c>
      <c r="C123" s="9" t="str">
        <f ca="1">OFFSET(ORÇAMENTO!L$15,ROW(C123)-ROW(C$15),0)</f>
        <v>F</v>
      </c>
      <c r="D123" s="146" t="str">
        <f ca="1">OFFSET(ORÇAMENTO!N$15,ROW(D123)-ROW(D$15),0)</f>
        <v>Serviço</v>
      </c>
      <c r="E123" s="206" t="str">
        <f ca="1">OFFSET(ORÇAMENTO!O$15,ROW(E123)-ROW(E$15),0)</f>
        <v>2.4.3.</v>
      </c>
      <c r="F123" s="207" t="str">
        <f ca="1">OFFSET(ORÇAMENTO!R$15,ROW(F123)-ROW(F$15),0)</f>
        <v>GRADIL EM FERRO FIXADO EM VÃOS DE JANELAS, FORMADO POR BARRAS CHATAS DE 25X4,8 MM. AF_04/2019</v>
      </c>
      <c r="G123" s="208" t="str">
        <f ca="1">IF($D123&lt;&gt;"Serviço","",OFFSET(ORÇAMENTO!S$15,ROW(G123)-ROW(G$15),0))</f>
        <v>M2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7.32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11</v>
      </c>
      <c r="N123" s="212" t="str">
        <f ca="1">IF($D123&lt;&gt;"Serviço","",IF(AUTOEVENTO="Manual",IF($A123=0,"&lt;-- defina o número do agrupador",OFFSET(EVENTOS!$D$14,$A123,0)),OFFSET($F$15,$A123,0)))</f>
        <v>(ESQUADRIAS METALICAS / PORTAS METALICAS)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25.5" x14ac:dyDescent="0.2">
      <c r="A124" s="9" t="str">
        <f t="shared" ca="1" si="9"/>
        <v>105</v>
      </c>
      <c r="B124" s="9" t="str">
        <f ca="1">OFFSET(ORÇAMENTO!C$15,ROW(B124)-ROW(B$15),0)</f>
        <v>S</v>
      </c>
      <c r="C124" s="9" t="str">
        <f ca="1">OFFSET(ORÇAMENTO!L$15,ROW(C124)-ROW(C$15),0)</f>
        <v>F</v>
      </c>
      <c r="D124" s="146" t="str">
        <f ca="1">OFFSET(ORÇAMENTO!N$15,ROW(D124)-ROW(D$15),0)</f>
        <v>Serviço</v>
      </c>
      <c r="E124" s="206" t="str">
        <f ca="1">OFFSET(ORÇAMENTO!O$15,ROW(E124)-ROW(E$15),0)</f>
        <v>2.4.4.</v>
      </c>
      <c r="F124" s="207" t="str">
        <f ca="1">OFFSET(ORÇAMENTO!R$15,ROW(F124)-ROW(F$15),0)</f>
        <v>PORTA DE FERRO, DE ABRIR, TIPO GRADE COM CHAPA, COM GUARNIÇÕES. AF_12/2019</v>
      </c>
      <c r="G124" s="208" t="str">
        <f ca="1">IF($D124&lt;&gt;"Serviço","",OFFSET(ORÇAMENTO!S$15,ROW(G124)-ROW(G$15),0))</f>
        <v>M2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1.68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11</v>
      </c>
      <c r="N124" s="212" t="str">
        <f ca="1">IF($D124&lt;&gt;"Serviço","",IF(AUTOEVENTO="Manual",IF($A124=0,"&lt;-- defina o número do agrupador",OFFSET(EVENTOS!$D$14,$A124,0)),OFFSET($F$15,$A124,0)))</f>
        <v>(ESQUADRIAS METALICAS / PORTAS METALICAS)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25.5" x14ac:dyDescent="0.2">
      <c r="A125" s="9" t="str">
        <f t="shared" ca="1" si="9"/>
        <v>105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11</v>
      </c>
      <c r="N125" s="212" t="str">
        <f ca="1">IF($D125&lt;&gt;"Serviço","",IF(AUTOEVENTO="Manual",IF($A125=0,"&lt;-- defina o número do agrupador",OFFSET(EVENTOS!$D$14,$A125,0)),OFFSET($F$15,$A125,0)))</f>
        <v>(ESQUADRIAS METALICAS / PORTAS METALICAS)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25.5" x14ac:dyDescent="0.2">
      <c r="A126" s="9" t="str">
        <f t="shared" ca="1" si="9"/>
        <v>105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11</v>
      </c>
      <c r="N126" s="212" t="str">
        <f ca="1">IF($D126&lt;&gt;"Serviço","",IF(AUTOEVENTO="Manual",IF($A126=0,"&lt;-- defina o número do agrupador",OFFSET(EVENTOS!$D$14,$A126,0)),OFFSET($F$15,$A126,0)))</f>
        <v>(ESQUADRIAS METALICAS / PORTAS METALICAS)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112.</v>
      </c>
      <c r="B127" s="9">
        <f ca="1">OFFSET(ORÇAMENTO!C$15,ROW(B127)-ROW(B$15),0)</f>
        <v>2</v>
      </c>
      <c r="C127" s="9" t="str">
        <f ca="1">OFFSET(ORÇAMENTO!L$15,ROW(C127)-ROW(C$15),0)</f>
        <v>F</v>
      </c>
      <c r="D127" s="146" t="str">
        <f ca="1">OFFSET(ORÇAMENTO!N$15,ROW(D127)-ROW(D$15),0)</f>
        <v>Nível 2</v>
      </c>
      <c r="E127" s="206" t="str">
        <f ca="1">OFFSET(ORÇAMENTO!O$15,ROW(E127)-ROW(E$15),0)</f>
        <v>2.5.</v>
      </c>
      <c r="F127" s="207" t="str">
        <f ca="1">OFFSET(ORÇAMENTO!R$15,ROW(F127)-ROW(F$15),0)</f>
        <v>(INSTALAÇÕES ELÉTRICAS)</v>
      </c>
      <c r="G127" s="208" t="str">
        <f ca="1">IF($D127&lt;&gt;"Serviço","",OFFSET(ORÇAMENTO!S$15,ROW(G127)-ROW(G$15),0))</f>
        <v/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 t="str">
        <f ca="1">IF($D127&lt;&gt;"Serviço","",IF(AUTOEVENTO="manual",$A127,IF(ISERROR(MATCH($A127,$A$15:OFFSET($A127,-1,0),0)),MAX($M$15:OFFSET(M127,-1,0))+1,INDEX($M$15:OFFSET(M127,-1,0),MATCH($A127,$A$15:OFFSET($A127,-1,0),0)))))</f>
        <v/>
      </c>
      <c r="N127" s="212" t="str">
        <f ca="1">IF($D127&lt;&gt;"Serviço","",IF(AUTOEVENTO="Manual",IF($A127=0,"&lt;-- defina o número do agrupador",OFFSET(EVENTOS!$D$14,$A127,0)),OFFSET($F$15,$A127,0)))</f>
        <v/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0</v>
      </c>
      <c r="AN127" s="216">
        <f ca="1">IF($D127&lt;&gt;"Serviço",0,IF(AND(AUTOEVENTO="Manual",$M127=1),0,IF(OFFSET(CRONOPLE!$F$14,$M127,AN$13)="",10^12,OFFSET(CRONOPLE!$F$14,$M127,AN$13))))</f>
        <v>0</v>
      </c>
      <c r="AO127" s="216">
        <f ca="1">IF($D127&lt;&gt;"Serviço",0,IF(AND(AUTOEVENTO="Manual",$M127=1),0,IF(OFFSET(CRONOPLE!$F$14,$M127,AO$13)="",10^12,OFFSET(CRONOPLE!$F$14,$M127,AO$13))))</f>
        <v>0</v>
      </c>
      <c r="AP127" s="216">
        <f ca="1">IF($D127&lt;&gt;"Serviço",0,IF(AND(AUTOEVENTO="Manual",$M127=1),0,IF(OFFSET(CRONOPLE!$F$14,$M127,AP$13)="",10^12,OFFSET(CRONOPLE!$F$14,$M127,AP$13))))</f>
        <v>0</v>
      </c>
      <c r="AQ127" s="216">
        <f ca="1">IF($D127&lt;&gt;"Serviço",0,IF(AND(AUTOEVENTO="Manual",$M127=1),0,IF(OFFSET(CRONOPLE!$F$14,$M127,AQ$13)="",10^12,OFFSET(CRONOPLE!$F$14,$M127,AQ$13))))</f>
        <v>0</v>
      </c>
      <c r="AR127" s="216">
        <f ca="1">IF($D127&lt;&gt;"Serviço",0,IF(AND(AUTOEVENTO="Manual",$M127=1),0,IF(OFFSET(CRONOPLE!$F$14,$M127,AR$13)="",10^12,OFFSET(CRONOPLE!$F$14,$M127,AR$13))))</f>
        <v>0</v>
      </c>
      <c r="AS127" s="216">
        <f ca="1">IF($D127&lt;&gt;"Serviço",0,IF(AND(AUTOEVENTO="Manual",$M127=1),0,IF(OFFSET(CRONOPLE!$F$14,$M127,AS$13)="",10^12,OFFSET(CRONOPLE!$F$14,$M127,AS$13))))</f>
        <v>0</v>
      </c>
      <c r="AT127" s="216">
        <f ca="1">IF($D127&lt;&gt;"Serviço",0,IF(AND(AUTOEVENTO="Manual",$M127=1),0,IF(OFFSET(CRONOPLE!$F$14,$M127,AT$13)="",10^12,OFFSET(CRONOPLE!$F$14,$M127,AT$13))))</f>
        <v>0</v>
      </c>
      <c r="AU127" s="216">
        <f ca="1">IF($D127&lt;&gt;"Serviço",0,IF(AND(AUTOEVENTO="Manual",$M127=1),0,IF(OFFSET(CRONOPLE!$F$14,$M127,AU$13)="",10^12,OFFSET(CRONOPLE!$F$14,$M127,AU$13))))</f>
        <v>0</v>
      </c>
      <c r="AV127" s="216">
        <f ca="1">IF($D127&lt;&gt;"Serviço",0,IF(AND(AUTOEVENTO="Manual",$M127=1),0,IF(OFFSET(CRONOPLE!$F$14,$M127,AV$13)="",10^12,OFFSET(CRONOPLE!$F$14,$M127,AV$13))))</f>
        <v>0</v>
      </c>
      <c r="AX127" s="217">
        <f ca="1">IF($D127&lt;&gt;"Serviço",0,IF(OR(AND(AUTOEVENTO="Manual",$M127=1),$M127&gt;(ROW(PLE.lastrow)-ROW(PLE.firstrow))),0,IF(OFFSET(PLE!$G$14,$M127,AX$13)="",10^12,OFFSET(PLE!$G$14,$M127,AX$13))))</f>
        <v>0</v>
      </c>
      <c r="AY127" s="217">
        <f ca="1">IF($D127&lt;&gt;"Serviço",0,IF(OR(AND(AUTOEVENTO="Manual",$M127=1),$M127&gt;(ROW(PLE.lastrow)-ROW(PLE.firstrow))),0,IF(OFFSET(PLE!$G$14,$M127,AY$13)="",10^12,OFFSET(PLE!$G$14,$M127,AY$13))))</f>
        <v>0</v>
      </c>
      <c r="AZ127" s="217">
        <f ca="1">IF($D127&lt;&gt;"Serviço",0,IF(OR(AND(AUTOEVENTO="Manual",$M127=1),$M127&gt;(ROW(PLE.lastrow)-ROW(PLE.firstrow))),0,IF(OFFSET(PLE!$G$14,$M127,AZ$13)="",10^12,OFFSET(PLE!$G$14,$M127,AZ$13))))</f>
        <v>0</v>
      </c>
      <c r="BA127" s="217">
        <f ca="1">IF($D127&lt;&gt;"Serviço",0,IF(OR(AND(AUTOEVENTO="Manual",$M127=1),$M127&gt;(ROW(PLE.lastrow)-ROW(PLE.firstrow))),0,IF(OFFSET(PLE!$G$14,$M127,BA$13)="",10^12,OFFSET(PLE!$G$14,$M127,BA$13))))</f>
        <v>0</v>
      </c>
      <c r="BB127" s="217">
        <f ca="1">IF($D127&lt;&gt;"Serviço",0,IF(OR(AND(AUTOEVENTO="Manual",$M127=1),$M127&gt;(ROW(PLE.lastrow)-ROW(PLE.firstrow))),0,IF(OFFSET(PLE!$G$14,$M127,BB$13)="",10^12,OFFSET(PLE!$G$14,$M127,BB$13))))</f>
        <v>0</v>
      </c>
      <c r="BC127" s="217">
        <f ca="1">IF($D127&lt;&gt;"Serviço",0,IF(OR(AND(AUTOEVENTO="Manual",$M127=1),$M127&gt;(ROW(PLE.lastrow)-ROW(PLE.firstrow))),0,IF(OFFSET(PLE!$G$14,$M127,BC$13)="",10^12,OFFSET(PLE!$G$14,$M127,BC$13))))</f>
        <v>0</v>
      </c>
      <c r="BD127" s="217">
        <f ca="1">IF($D127&lt;&gt;"Serviço",0,IF(OR(AND(AUTOEVENTO="Manual",$M127=1),$M127&gt;(ROW(PLE.lastrow)-ROW(PLE.firstrow))),0,IF(OFFSET(PLE!$G$14,$M127,BD$13)="",10^12,OFFSET(PLE!$G$14,$M127,BD$13))))</f>
        <v>0</v>
      </c>
      <c r="BE127" s="217">
        <f ca="1">IF($D127&lt;&gt;"Serviço",0,IF(OR(AND(AUTOEVENTO="Manual",$M127=1),$M127&gt;(ROW(PLE.lastrow)-ROW(PLE.firstrow))),0,IF(OFFSET(PLE!$G$14,$M127,BE$13)="",10^12,OFFSET(PLE!$G$14,$M127,BE$13))))</f>
        <v>0</v>
      </c>
      <c r="BF127" s="217">
        <f ca="1">IF($D127&lt;&gt;"Serviço",0,IF(OR(AND(AUTOEVENTO="Manual",$M127=1),$M127&gt;(ROW(PLE.lastrow)-ROW(PLE.firstrow))),0,IF(OFFSET(PLE!$G$14,$M127,BF$13)="",10^12,OFFSET(PLE!$G$14,$M127,BF$13))))</f>
        <v>0</v>
      </c>
      <c r="BG127" s="217">
        <f ca="1">IF($D127&lt;&gt;"Serviço",0,IF(OR(AND(AUTOEVENTO="Manual",$M127=1),$M127&gt;(ROW(PLE.lastrow)-ROW(PLE.firstrow))),0,IF(OFFSET(PLE!$G$14,$M127,BG$13)="",10^12,OFFSET(PLE!$G$14,$M127,BG$13))))</f>
        <v>0</v>
      </c>
    </row>
    <row r="128" spans="1:59" ht="12.75" x14ac:dyDescent="0.2">
      <c r="A128" s="9" t="str">
        <f t="shared" ca="1" si="9"/>
        <v>112</v>
      </c>
      <c r="B128" s="9" t="str">
        <f ca="1">OFFSET(ORÇAMENTO!C$15,ROW(B128)-ROW(B$15),0)</f>
        <v>S</v>
      </c>
      <c r="C128" s="9" t="str">
        <f ca="1">OFFSET(ORÇAMENTO!L$15,ROW(C128)-ROW(C$15),0)</f>
        <v>F</v>
      </c>
      <c r="D128" s="146" t="str">
        <f ca="1">OFFSET(ORÇAMENTO!N$15,ROW(D128)-ROW(D$15),0)</f>
        <v>Serviço</v>
      </c>
      <c r="E128" s="206" t="str">
        <f ca="1">OFFSET(ORÇAMENTO!O$15,ROW(E128)-ROW(E$15),0)</f>
        <v>2.5.1.</v>
      </c>
      <c r="F128" s="207" t="str">
        <f ca="1">OFFSET(ORÇAMENTO!R$15,ROW(F128)-ROW(F$15),0)</f>
        <v>FIO DE COBRE, SOLIDO, CLASSE 1, ISOLACAO EM PVC/A, ANTICHAMA BWF-B, 450/750V, SECAO NOMINAL 2,5 MM2</v>
      </c>
      <c r="G128" s="208" t="str">
        <f ca="1">IF($D128&lt;&gt;"Serviço","",OFFSET(ORÇAMENTO!S$15,ROW(G128)-ROW(G$15),0))</f>
        <v xml:space="preserve">M     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111.4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12</v>
      </c>
      <c r="N128" s="212" t="str">
        <f ca="1">IF($D128&lt;&gt;"Serviço","",IF(AUTOEVENTO="Manual",IF($A128=0,"&lt;-- defina o número do agrupador",OFFSET(EVENTOS!$D$14,$A128,0)),OFFSET($F$15,$A128,0)))</f>
        <v>(INSTALAÇÕES ELÉTRICAS)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112</v>
      </c>
      <c r="B129" s="9" t="str">
        <f ca="1">OFFSET(ORÇAMENTO!C$15,ROW(B129)-ROW(B$15),0)</f>
        <v>S</v>
      </c>
      <c r="C129" s="9" t="str">
        <f ca="1">OFFSET(ORÇAMENTO!L$15,ROW(C129)-ROW(C$15),0)</f>
        <v>F</v>
      </c>
      <c r="D129" s="146" t="str">
        <f ca="1">OFFSET(ORÇAMENTO!N$15,ROW(D129)-ROW(D$15),0)</f>
        <v>Serviço</v>
      </c>
      <c r="E129" s="206" t="str">
        <f ca="1">OFFSET(ORÇAMENTO!O$15,ROW(E129)-ROW(E$15),0)</f>
        <v>2.5.2.</v>
      </c>
      <c r="F129" s="207" t="str">
        <f ca="1">OFFSET(ORÇAMENTO!R$15,ROW(F129)-ROW(F$15),0)</f>
        <v>FIO DE COBRE, SOLIDO, CLASSE 1, ISOLACAO EM PVC/A, ANTICHAMA BWF-B, 450/750V, SECAO NOMINAL 4 MM2</v>
      </c>
      <c r="G129" s="208" t="str">
        <f ca="1">IF($D129&lt;&gt;"Serviço","",OFFSET(ORÇAMENTO!S$15,ROW(G129)-ROW(G$15),0))</f>
        <v xml:space="preserve">M     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394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12</v>
      </c>
      <c r="N129" s="212" t="str">
        <f ca="1">IF($D129&lt;&gt;"Serviço","",IF(AUTOEVENTO="Manual",IF($A129=0,"&lt;-- defina o número do agrupador",OFFSET(EVENTOS!$D$14,$A129,0)),OFFSET($F$15,$A129,0)))</f>
        <v>(INSTALAÇÕES ELÉTRICAS)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112</v>
      </c>
      <c r="B130" s="9" t="str">
        <f ca="1">OFFSET(ORÇAMENTO!C$15,ROW(B130)-ROW(B$15),0)</f>
        <v>S</v>
      </c>
      <c r="C130" s="9" t="str">
        <f ca="1">OFFSET(ORÇAMENTO!L$15,ROW(C130)-ROW(C$15),0)</f>
        <v>F</v>
      </c>
      <c r="D130" s="146" t="str">
        <f ca="1">OFFSET(ORÇAMENTO!N$15,ROW(D130)-ROW(D$15),0)</f>
        <v>Serviço</v>
      </c>
      <c r="E130" s="206" t="str">
        <f ca="1">OFFSET(ORÇAMENTO!O$15,ROW(E130)-ROW(E$15),0)</f>
        <v>2.5.3.</v>
      </c>
      <c r="F130" s="207" t="str">
        <f ca="1">OFFSET(ORÇAMENTO!R$15,ROW(F130)-ROW(F$15),0)</f>
        <v>FIO DE COBRE, SOLIDO, CLASSE 1, ISOLACAO EM PVC/A, ANTICHAMA BWF-B, 450/750V, SECAO NOMINAL 6 MM2</v>
      </c>
      <c r="G130" s="208" t="str">
        <f ca="1">IF($D130&lt;&gt;"Serviço","",OFFSET(ORÇAMENTO!S$15,ROW(G130)-ROW(G$15),0))</f>
        <v xml:space="preserve">M     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40.799999999999997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12</v>
      </c>
      <c r="N130" s="212" t="str">
        <f ca="1">IF($D130&lt;&gt;"Serviço","",IF(AUTOEVENTO="Manual",IF($A130=0,"&lt;-- defina o número do agrupador",OFFSET(EVENTOS!$D$14,$A130,0)),OFFSET($F$15,$A130,0)))</f>
        <v>(INSTALAÇÕES ELÉTRICAS)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112</v>
      </c>
      <c r="B131" s="9" t="str">
        <f ca="1">OFFSET(ORÇAMENTO!C$15,ROW(B131)-ROW(B$15),0)</f>
        <v>S</v>
      </c>
      <c r="C131" s="9" t="str">
        <f ca="1">OFFSET(ORÇAMENTO!L$15,ROW(C131)-ROW(C$15),0)</f>
        <v>F</v>
      </c>
      <c r="D131" s="146" t="str">
        <f ca="1">OFFSET(ORÇAMENTO!N$15,ROW(D131)-ROW(D$15),0)</f>
        <v>Serviço</v>
      </c>
      <c r="E131" s="206" t="str">
        <f ca="1">OFFSET(ORÇAMENTO!O$15,ROW(E131)-ROW(E$15),0)</f>
        <v>2.5.4.</v>
      </c>
      <c r="F131" s="207" t="str">
        <f ca="1">OFFSET(ORÇAMENTO!R$15,ROW(F131)-ROW(F$15),0)</f>
        <v>INTERRUPTOR SIMPLES + INTERRUPTOR PARALELO 10A, 250V, CONJUNTO MONTADO PARA EMBUTIR 4" X 2" (PLACA + SUPORTE + MODULOS)</v>
      </c>
      <c r="G131" s="208" t="str">
        <f ca="1">IF($D131&lt;&gt;"Serviço","",OFFSET(ORÇAMENTO!S$15,ROW(G131)-ROW(G$15),0))</f>
        <v xml:space="preserve">UN    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2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12</v>
      </c>
      <c r="N131" s="212" t="str">
        <f ca="1">IF($D131&lt;&gt;"Serviço","",IF(AUTOEVENTO="Manual",IF($A131=0,"&lt;-- defina o número do agrupador",OFFSET(EVENTOS!$D$14,$A131,0)),OFFSET($F$15,$A131,0)))</f>
        <v>(INSTALAÇÕES ELÉTRICAS)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112</v>
      </c>
      <c r="B132" s="9" t="str">
        <f ca="1">OFFSET(ORÇAMENTO!C$15,ROW(B132)-ROW(B$15),0)</f>
        <v>S</v>
      </c>
      <c r="C132" s="9" t="str">
        <f ca="1">OFFSET(ORÇAMENTO!L$15,ROW(C132)-ROW(C$15),0)</f>
        <v>F</v>
      </c>
      <c r="D132" s="146" t="str">
        <f ca="1">OFFSET(ORÇAMENTO!N$15,ROW(D132)-ROW(D$15),0)</f>
        <v>Serviço</v>
      </c>
      <c r="E132" s="206" t="str">
        <f ca="1">OFFSET(ORÇAMENTO!O$15,ROW(E132)-ROW(E$15),0)</f>
        <v>2.5.5.</v>
      </c>
      <c r="F132" s="207" t="str">
        <f ca="1">OFFSET(ORÇAMENTO!R$15,ROW(F132)-ROW(F$15),0)</f>
        <v>TOMADA 2P+T 20A 250V, CONJUNTO MONTADO PARA EMBUTIR 4" X 2" (PLACA + SUPORTE + MODULO)</v>
      </c>
      <c r="G132" s="208" t="str">
        <f ca="1">IF($D132&lt;&gt;"Serviço","",OFFSET(ORÇAMENTO!S$15,ROW(G132)-ROW(G$15),0))</f>
        <v xml:space="preserve">UN    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16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12</v>
      </c>
      <c r="N132" s="212" t="str">
        <f ca="1">IF($D132&lt;&gt;"Serviço","",IF(AUTOEVENTO="Manual",IF($A132=0,"&lt;-- defina o número do agrupador",OFFSET(EVENTOS!$D$14,$A132,0)),OFFSET($F$15,$A132,0)))</f>
        <v>(INSTALAÇÕES ELÉTRICAS)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112</v>
      </c>
      <c r="B133" s="9" t="str">
        <f ca="1">OFFSET(ORÇAMENTO!C$15,ROW(B133)-ROW(B$15),0)</f>
        <v>S</v>
      </c>
      <c r="C133" s="9" t="str">
        <f ca="1">OFFSET(ORÇAMENTO!L$15,ROW(C133)-ROW(C$15),0)</f>
        <v>F</v>
      </c>
      <c r="D133" s="146" t="str">
        <f ca="1">OFFSET(ORÇAMENTO!N$15,ROW(D133)-ROW(D$15),0)</f>
        <v>Serviço</v>
      </c>
      <c r="E133" s="206" t="str">
        <f ca="1">OFFSET(ORÇAMENTO!O$15,ROW(E133)-ROW(E$15),0)</f>
        <v>2.5.6.</v>
      </c>
      <c r="F133" s="207" t="str">
        <f ca="1">OFFSET(ORÇAMENTO!R$15,ROW(F133)-ROW(F$15),0)</f>
        <v>TOMADA ALTA DE EMBUTIR (1 MÓDULO), 2P+T 10 A, SEM SUPORTE E SEM PLACA - FORNECIMENTO E INSTALAÇÃO. AF_12/2015</v>
      </c>
      <c r="G133" s="208" t="str">
        <f ca="1">IF($D133&lt;&gt;"Serviço","",OFFSET(ORÇAMENTO!S$15,ROW(G133)-ROW(G$15),0))</f>
        <v>UN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1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12</v>
      </c>
      <c r="N133" s="212" t="str">
        <f ca="1">IF($D133&lt;&gt;"Serviço","",IF(AUTOEVENTO="Manual",IF($A133=0,"&lt;-- defina o número do agrupador",OFFSET(EVENTOS!$D$14,$A133,0)),OFFSET($F$15,$A133,0)))</f>
        <v>(INSTALAÇÕES ELÉTRICAS)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112</v>
      </c>
      <c r="B134" s="9" t="str">
        <f ca="1">OFFSET(ORÇAMENTO!C$15,ROW(B134)-ROW(B$15),0)</f>
        <v>S</v>
      </c>
      <c r="C134" s="9" t="str">
        <f ca="1">OFFSET(ORÇAMENTO!L$15,ROW(C134)-ROW(C$15),0)</f>
        <v>F</v>
      </c>
      <c r="D134" s="146" t="str">
        <f ca="1">OFFSET(ORÇAMENTO!N$15,ROW(D134)-ROW(D$15),0)</f>
        <v>Serviço</v>
      </c>
      <c r="E134" s="206" t="str">
        <f ca="1">OFFSET(ORÇAMENTO!O$15,ROW(E134)-ROW(E$15),0)</f>
        <v>2.5.7.</v>
      </c>
      <c r="F134" s="207" t="str">
        <f ca="1">OFFSET(ORÇAMENTO!R$15,ROW(F134)-ROW(F$15),0)</f>
        <v>QUADRO DE DISTRIBUICAO, SEM BARRAMENTO, EM PVC, DE SOBREPOR, PARA 6 DISJUNTORES NEMA OU 8 DISJUNTORES DIN</v>
      </c>
      <c r="G134" s="208" t="str">
        <f ca="1">IF($D134&lt;&gt;"Serviço","",OFFSET(ORÇAMENTO!S$15,ROW(G134)-ROW(G$15),0))</f>
        <v xml:space="preserve">UN    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1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12</v>
      </c>
      <c r="N134" s="212" t="str">
        <f ca="1">IF($D134&lt;&gt;"Serviço","",IF(AUTOEVENTO="Manual",IF($A134=0,"&lt;-- defina o número do agrupador",OFFSET(EVENTOS!$D$14,$A134,0)),OFFSET($F$15,$A134,0)))</f>
        <v>(INSTALAÇÕES ELÉTRICAS)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112</v>
      </c>
      <c r="B135" s="9" t="str">
        <f ca="1">OFFSET(ORÇAMENTO!C$15,ROW(B135)-ROW(B$15),0)</f>
        <v>S</v>
      </c>
      <c r="C135" s="9" t="str">
        <f ca="1">OFFSET(ORÇAMENTO!L$15,ROW(C135)-ROW(C$15),0)</f>
        <v>F</v>
      </c>
      <c r="D135" s="146" t="str">
        <f ca="1">OFFSET(ORÇAMENTO!N$15,ROW(D135)-ROW(D$15),0)</f>
        <v>Serviço</v>
      </c>
      <c r="E135" s="206" t="str">
        <f ca="1">OFFSET(ORÇAMENTO!O$15,ROW(E135)-ROW(E$15),0)</f>
        <v>2.5.8.</v>
      </c>
      <c r="F135" s="207" t="str">
        <f ca="1">OFFSET(ORÇAMENTO!R$15,ROW(F135)-ROW(F$15),0)</f>
        <v>SOQUETE DE PORCELANA BASE E27, FIXO DE TETO, PARA LAMPADAS</v>
      </c>
      <c r="G135" s="208" t="str">
        <f ca="1">IF($D135&lt;&gt;"Serviço","",OFFSET(ORÇAMENTO!S$15,ROW(G135)-ROW(G$15),0))</f>
        <v xml:space="preserve">UN    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9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12</v>
      </c>
      <c r="N135" s="212" t="str">
        <f ca="1">IF($D135&lt;&gt;"Serviço","",IF(AUTOEVENTO="Manual",IF($A135=0,"&lt;-- defina o número do agrupador",OFFSET(EVENTOS!$D$14,$A135,0)),OFFSET($F$15,$A135,0)))</f>
        <v>(INSTALAÇÕES ELÉTRICAS)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112</v>
      </c>
      <c r="B136" s="9" t="str">
        <f ca="1">OFFSET(ORÇAMENTO!C$15,ROW(B136)-ROW(B$15),0)</f>
        <v>S</v>
      </c>
      <c r="C136" s="9" t="str">
        <f ca="1">OFFSET(ORÇAMENTO!L$15,ROW(C136)-ROW(C$15),0)</f>
        <v>F</v>
      </c>
      <c r="D136" s="146" t="str">
        <f ca="1">OFFSET(ORÇAMENTO!N$15,ROW(D136)-ROW(D$15),0)</f>
        <v>Serviço</v>
      </c>
      <c r="E136" s="206" t="str">
        <f ca="1">OFFSET(ORÇAMENTO!O$15,ROW(E136)-ROW(E$15),0)</f>
        <v>2.5.9.</v>
      </c>
      <c r="F136" s="207" t="str">
        <f ca="1">OFFSET(ORÇAMENTO!R$15,ROW(F136)-ROW(F$15),0)</f>
        <v>LAMPADA FLUORESCENTE ESPIRAL BRANCA 45 W, BASE E27 (127/220 V)</v>
      </c>
      <c r="G136" s="208" t="str">
        <f ca="1">IF($D136&lt;&gt;"Serviço","",OFFSET(ORÇAMENTO!S$15,ROW(G136)-ROW(G$15),0))</f>
        <v xml:space="preserve">UN    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9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12</v>
      </c>
      <c r="N136" s="212" t="str">
        <f ca="1">IF($D136&lt;&gt;"Serviço","",IF(AUTOEVENTO="Manual",IF($A136=0,"&lt;-- defina o número do agrupador",OFFSET(EVENTOS!$D$14,$A136,0)),OFFSET($F$15,$A136,0)))</f>
        <v>(INSTALAÇÕES ELÉTRICAS)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112</v>
      </c>
      <c r="B137" s="9" t="str">
        <f ca="1">OFFSET(ORÇAMENTO!C$15,ROW(B137)-ROW(B$15),0)</f>
        <v>S</v>
      </c>
      <c r="C137" s="9" t="str">
        <f ca="1">OFFSET(ORÇAMENTO!L$15,ROW(C137)-ROW(C$15),0)</f>
        <v>F</v>
      </c>
      <c r="D137" s="146" t="str">
        <f ca="1">OFFSET(ORÇAMENTO!N$15,ROW(D137)-ROW(D$15),0)</f>
        <v>Serviço</v>
      </c>
      <c r="E137" s="206" t="str">
        <f ca="1">OFFSET(ORÇAMENTO!O$15,ROW(E137)-ROW(E$15),0)</f>
        <v>2.5.10.</v>
      </c>
      <c r="F137" s="207" t="str">
        <f ca="1">OFFSET(ORÇAMENTO!R$15,ROW(F137)-ROW(F$15),0)</f>
        <v>ELETRODUTO RÍGIDO ROSCÁVEL, PVC, DN 25 MM (3/4"), PARA CIRCUITOS TERMINAIS, INSTALADO EM FORRO - FORNECIMENTO E INSTALAÇÃO. AF_12/2015</v>
      </c>
      <c r="G137" s="208" t="str">
        <f ca="1">IF($D137&lt;&gt;"Serviço","",OFFSET(ORÇAMENTO!S$15,ROW(G137)-ROW(G$15),0))</f>
        <v>M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34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12</v>
      </c>
      <c r="N137" s="212" t="str">
        <f ca="1">IF($D137&lt;&gt;"Serviço","",IF(AUTOEVENTO="Manual",IF($A137=0,"&lt;-- defina o número do agrupador",OFFSET(EVENTOS!$D$14,$A137,0)),OFFSET($F$15,$A137,0)))</f>
        <v>(INSTALAÇÕES ELÉTRICAS)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112</v>
      </c>
      <c r="B138" s="9" t="str">
        <f ca="1">OFFSET(ORÇAMENTO!C$15,ROW(B138)-ROW(B$15),0)</f>
        <v>S</v>
      </c>
      <c r="C138" s="9" t="str">
        <f ca="1">OFFSET(ORÇAMENTO!L$15,ROW(C138)-ROW(C$15),0)</f>
        <v>F</v>
      </c>
      <c r="D138" s="146" t="str">
        <f ca="1">OFFSET(ORÇAMENTO!N$15,ROW(D138)-ROW(D$15),0)</f>
        <v>Serviço</v>
      </c>
      <c r="E138" s="206" t="str">
        <f ca="1">OFFSET(ORÇAMENTO!O$15,ROW(E138)-ROW(E$15),0)</f>
        <v>2.5.11.</v>
      </c>
      <c r="F138" s="207" t="str">
        <f ca="1">OFFSET(ORÇAMENTO!R$15,ROW(F138)-ROW(F$15),0)</f>
        <v>RASGO EM ALVENARIA PARA ELETRODUTOS COM DIAMETROS MENORES OU IGUAIS A 40 MM. AF_05/2015</v>
      </c>
      <c r="G138" s="208" t="str">
        <f ca="1">IF($D138&lt;&gt;"Serviço","",OFFSET(ORÇAMENTO!S$15,ROW(G138)-ROW(G$15),0))</f>
        <v>M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34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12</v>
      </c>
      <c r="N138" s="212" t="str">
        <f ca="1">IF($D138&lt;&gt;"Serviço","",IF(AUTOEVENTO="Manual",IF($A138=0,"&lt;-- defina o número do agrupador",OFFSET(EVENTOS!$D$14,$A138,0)),OFFSET($F$15,$A138,0)))</f>
        <v>(INSTALAÇÕES ELÉTRICAS)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112</v>
      </c>
      <c r="B139" s="9" t="str">
        <f ca="1">OFFSET(ORÇAMENTO!C$15,ROW(B139)-ROW(B$15),0)</f>
        <v>S</v>
      </c>
      <c r="C139" s="9" t="str">
        <f ca="1">OFFSET(ORÇAMENTO!L$15,ROW(C139)-ROW(C$15),0)</f>
        <v>F</v>
      </c>
      <c r="D139" s="146" t="str">
        <f ca="1">OFFSET(ORÇAMENTO!N$15,ROW(D139)-ROW(D$15),0)</f>
        <v>Serviço</v>
      </c>
      <c r="E139" s="206" t="str">
        <f ca="1">OFFSET(ORÇAMENTO!O$15,ROW(E139)-ROW(E$15),0)</f>
        <v>2.5.12.</v>
      </c>
      <c r="F139" s="207" t="str">
        <f ca="1">OFFSET(ORÇAMENTO!R$15,ROW(F139)-ROW(F$15),0)</f>
        <v>ELETRODUTO PVC FLEXIVEL CORRUGADO, COR AMARELA, DE 20 MM</v>
      </c>
      <c r="G139" s="208" t="str">
        <f ca="1">IF($D139&lt;&gt;"Serviço","",OFFSET(ORÇAMENTO!S$15,ROW(G139)-ROW(G$15),0))</f>
        <v xml:space="preserve">M     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58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12</v>
      </c>
      <c r="N139" s="212" t="str">
        <f ca="1">IF($D139&lt;&gt;"Serviço","",IF(AUTOEVENTO="Manual",IF($A139=0,"&lt;-- defina o número do agrupador",OFFSET(EVENTOS!$D$14,$A139,0)),OFFSET($F$15,$A139,0)))</f>
        <v>(INSTALAÇÕES ELÉTRICAS)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112</v>
      </c>
      <c r="B140" s="9" t="str">
        <f ca="1">OFFSET(ORÇAMENTO!C$15,ROW(B140)-ROW(B$15),0)</f>
        <v>S</v>
      </c>
      <c r="C140" s="9" t="str">
        <f ca="1">OFFSET(ORÇAMENTO!L$15,ROW(C140)-ROW(C$15),0)</f>
        <v>F</v>
      </c>
      <c r="D140" s="146" t="str">
        <f ca="1">OFFSET(ORÇAMENTO!N$15,ROW(D140)-ROW(D$15),0)</f>
        <v>Serviço</v>
      </c>
      <c r="E140" s="206" t="str">
        <f ca="1">OFFSET(ORÇAMENTO!O$15,ROW(E140)-ROW(E$15),0)</f>
        <v>2.5.13.</v>
      </c>
      <c r="F140" s="207" t="str">
        <f ca="1">OFFSET(ORÇAMENTO!R$15,ROW(F140)-ROW(F$15),0)</f>
        <v>DISJUNTOR MONOPOLAR TIPO DIN, CORRENTE NOMINAL DE 25A - FORNECIMENTO E INSTALAÇÃO. AF_04/2016</v>
      </c>
      <c r="G140" s="208" t="str">
        <f ca="1">IF($D140&lt;&gt;"Serviço","",OFFSET(ORÇAMENTO!S$15,ROW(G140)-ROW(G$15),0))</f>
        <v>UN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6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12</v>
      </c>
      <c r="N140" s="212" t="str">
        <f ca="1">IF($D140&lt;&gt;"Serviço","",IF(AUTOEVENTO="Manual",IF($A140=0,"&lt;-- defina o número do agrupador",OFFSET(EVENTOS!$D$14,$A140,0)),OFFSET($F$15,$A140,0)))</f>
        <v>(INSTALAÇÕES ELÉTRICAS)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112</v>
      </c>
      <c r="B141" s="9" t="str">
        <f ca="1">OFFSET(ORÇAMENTO!C$15,ROW(B141)-ROW(B$15),0)</f>
        <v>S</v>
      </c>
      <c r="C141" s="9" t="str">
        <f ca="1">OFFSET(ORÇAMENTO!L$15,ROW(C141)-ROW(C$15),0)</f>
        <v>F</v>
      </c>
      <c r="D141" s="146" t="str">
        <f ca="1">OFFSET(ORÇAMENTO!N$15,ROW(D141)-ROW(D$15),0)</f>
        <v>Serviço</v>
      </c>
      <c r="E141" s="206" t="str">
        <f ca="1">OFFSET(ORÇAMENTO!O$15,ROW(E141)-ROW(E$15),0)</f>
        <v>2.5.14.</v>
      </c>
      <c r="F141" s="207" t="str">
        <f ca="1">OFFSET(ORÇAMENTO!R$15,ROW(F141)-ROW(F$15),0)</f>
        <v>DISJUNTOR TIPO DIN/IEC, BIPOLAR DE 6 ATE 32A</v>
      </c>
      <c r="G141" s="208" t="str">
        <f ca="1">IF($D141&lt;&gt;"Serviço","",OFFSET(ORÇAMENTO!S$15,ROW(G141)-ROW(G$15),0))</f>
        <v xml:space="preserve">UN    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1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12</v>
      </c>
      <c r="N141" s="212" t="str">
        <f ca="1">IF($D141&lt;&gt;"Serviço","",IF(AUTOEVENTO="Manual",IF($A141=0,"&lt;-- defina o número do agrupador",OFFSET(EVENTOS!$D$14,$A141,0)),OFFSET($F$15,$A141,0)))</f>
        <v>(INSTALAÇÕES ELÉTRICAS)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112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12</v>
      </c>
      <c r="N142" s="212" t="str">
        <f ca="1">IF($D142&lt;&gt;"Serviço","",IF(AUTOEVENTO="Manual",IF($A142=0,"&lt;-- defina o número do agrupador",OFFSET(EVENTOS!$D$14,$A142,0)),OFFSET($F$15,$A142,0)))</f>
        <v>(INSTALAÇÕES ELÉTRICAS)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128.</v>
      </c>
      <c r="B143" s="9">
        <f ca="1">OFFSET(ORÇAMENTO!C$15,ROW(B143)-ROW(B$15),0)</f>
        <v>2</v>
      </c>
      <c r="C143" s="9" t="str">
        <f ca="1">OFFSET(ORÇAMENTO!L$15,ROW(C143)-ROW(C$15),0)</f>
        <v>F</v>
      </c>
      <c r="D143" s="146" t="str">
        <f ca="1">OFFSET(ORÇAMENTO!N$15,ROW(D143)-ROW(D$15),0)</f>
        <v>Nível 2</v>
      </c>
      <c r="E143" s="206" t="str">
        <f ca="1">OFFSET(ORÇAMENTO!O$15,ROW(E143)-ROW(E$15),0)</f>
        <v>2.6.</v>
      </c>
      <c r="F143" s="207" t="str">
        <f ca="1">OFFSET(ORÇAMENTO!R$15,ROW(F143)-ROW(F$15),0)</f>
        <v>(COBERTURA ALUZINCO)</v>
      </c>
      <c r="G143" s="208" t="str">
        <f ca="1">IF($D143&lt;&gt;"Serviço","",OFFSET(ORÇAMENTO!S$15,ROW(G143)-ROW(G$15),0))</f>
        <v/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 t="str">
        <f ca="1">IF($D143&lt;&gt;"Serviço","",IF(AUTOEVENTO="manual",$A143,IF(ISERROR(MATCH($A143,$A$15:OFFSET($A143,-1,0),0)),MAX($M$15:OFFSET(M143,-1,0))+1,INDEX($M$15:OFFSET(M143,-1,0),MATCH($A143,$A$15:OFFSET($A143,-1,0),0)))))</f>
        <v/>
      </c>
      <c r="N143" s="212" t="str">
        <f ca="1">IF($D143&lt;&gt;"Serviço","",IF(AUTOEVENTO="Manual",IF($A143=0,"&lt;-- defina o número do agrupador",OFFSET(EVENTOS!$D$14,$A143,0)),OFFSET($F$15,$A143,0)))</f>
        <v/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0</v>
      </c>
      <c r="AN143" s="216">
        <f ca="1">IF($D143&lt;&gt;"Serviço",0,IF(AND(AUTOEVENTO="Manual",$M143=1),0,IF(OFFSET(CRONOPLE!$F$14,$M143,AN$13)="",10^12,OFFSET(CRONOPLE!$F$14,$M143,AN$13))))</f>
        <v>0</v>
      </c>
      <c r="AO143" s="216">
        <f ca="1">IF($D143&lt;&gt;"Serviço",0,IF(AND(AUTOEVENTO="Manual",$M143=1),0,IF(OFFSET(CRONOPLE!$F$14,$M143,AO$13)="",10^12,OFFSET(CRONOPLE!$F$14,$M143,AO$13))))</f>
        <v>0</v>
      </c>
      <c r="AP143" s="216">
        <f ca="1">IF($D143&lt;&gt;"Serviço",0,IF(AND(AUTOEVENTO="Manual",$M143=1),0,IF(OFFSET(CRONOPLE!$F$14,$M143,AP$13)="",10^12,OFFSET(CRONOPLE!$F$14,$M143,AP$13))))</f>
        <v>0</v>
      </c>
      <c r="AQ143" s="216">
        <f ca="1">IF($D143&lt;&gt;"Serviço",0,IF(AND(AUTOEVENTO="Manual",$M143=1),0,IF(OFFSET(CRONOPLE!$F$14,$M143,AQ$13)="",10^12,OFFSET(CRONOPLE!$F$14,$M143,AQ$13))))</f>
        <v>0</v>
      </c>
      <c r="AR143" s="216">
        <f ca="1">IF($D143&lt;&gt;"Serviço",0,IF(AND(AUTOEVENTO="Manual",$M143=1),0,IF(OFFSET(CRONOPLE!$F$14,$M143,AR$13)="",10^12,OFFSET(CRONOPLE!$F$14,$M143,AR$13))))</f>
        <v>0</v>
      </c>
      <c r="AS143" s="216">
        <f ca="1">IF($D143&lt;&gt;"Serviço",0,IF(AND(AUTOEVENTO="Manual",$M143=1),0,IF(OFFSET(CRONOPLE!$F$14,$M143,AS$13)="",10^12,OFFSET(CRONOPLE!$F$14,$M143,AS$13))))</f>
        <v>0</v>
      </c>
      <c r="AT143" s="216">
        <f ca="1">IF($D143&lt;&gt;"Serviço",0,IF(AND(AUTOEVENTO="Manual",$M143=1),0,IF(OFFSET(CRONOPLE!$F$14,$M143,AT$13)="",10^12,OFFSET(CRONOPLE!$F$14,$M143,AT$13))))</f>
        <v>0</v>
      </c>
      <c r="AU143" s="216">
        <f ca="1">IF($D143&lt;&gt;"Serviço",0,IF(AND(AUTOEVENTO="Manual",$M143=1),0,IF(OFFSET(CRONOPLE!$F$14,$M143,AU$13)="",10^12,OFFSET(CRONOPLE!$F$14,$M143,AU$13))))</f>
        <v>0</v>
      </c>
      <c r="AV143" s="216">
        <f ca="1">IF($D143&lt;&gt;"Serviço",0,IF(AND(AUTOEVENTO="Manual",$M143=1),0,IF(OFFSET(CRONOPLE!$F$14,$M143,AV$13)="",10^12,OFFSET(CRONOPLE!$F$14,$M143,AV$13))))</f>
        <v>0</v>
      </c>
      <c r="AX143" s="217">
        <f ca="1">IF($D143&lt;&gt;"Serviço",0,IF(OR(AND(AUTOEVENTO="Manual",$M143=1),$M143&gt;(ROW(PLE.lastrow)-ROW(PLE.firstrow))),0,IF(OFFSET(PLE!$G$14,$M143,AX$13)="",10^12,OFFSET(PLE!$G$14,$M143,AX$13))))</f>
        <v>0</v>
      </c>
      <c r="AY143" s="217">
        <f ca="1">IF($D143&lt;&gt;"Serviço",0,IF(OR(AND(AUTOEVENTO="Manual",$M143=1),$M143&gt;(ROW(PLE.lastrow)-ROW(PLE.firstrow))),0,IF(OFFSET(PLE!$G$14,$M143,AY$13)="",10^12,OFFSET(PLE!$G$14,$M143,AY$13))))</f>
        <v>0</v>
      </c>
      <c r="AZ143" s="217">
        <f ca="1">IF($D143&lt;&gt;"Serviço",0,IF(OR(AND(AUTOEVENTO="Manual",$M143=1),$M143&gt;(ROW(PLE.lastrow)-ROW(PLE.firstrow))),0,IF(OFFSET(PLE!$G$14,$M143,AZ$13)="",10^12,OFFSET(PLE!$G$14,$M143,AZ$13))))</f>
        <v>0</v>
      </c>
      <c r="BA143" s="217">
        <f ca="1">IF($D143&lt;&gt;"Serviço",0,IF(OR(AND(AUTOEVENTO="Manual",$M143=1),$M143&gt;(ROW(PLE.lastrow)-ROW(PLE.firstrow))),0,IF(OFFSET(PLE!$G$14,$M143,BA$13)="",10^12,OFFSET(PLE!$G$14,$M143,BA$13))))</f>
        <v>0</v>
      </c>
      <c r="BB143" s="217">
        <f ca="1">IF($D143&lt;&gt;"Serviço",0,IF(OR(AND(AUTOEVENTO="Manual",$M143=1),$M143&gt;(ROW(PLE.lastrow)-ROW(PLE.firstrow))),0,IF(OFFSET(PLE!$G$14,$M143,BB$13)="",10^12,OFFSET(PLE!$G$14,$M143,BB$13))))</f>
        <v>0</v>
      </c>
      <c r="BC143" s="217">
        <f ca="1">IF($D143&lt;&gt;"Serviço",0,IF(OR(AND(AUTOEVENTO="Manual",$M143=1),$M143&gt;(ROW(PLE.lastrow)-ROW(PLE.firstrow))),0,IF(OFFSET(PLE!$G$14,$M143,BC$13)="",10^12,OFFSET(PLE!$G$14,$M143,BC$13))))</f>
        <v>0</v>
      </c>
      <c r="BD143" s="217">
        <f ca="1">IF($D143&lt;&gt;"Serviço",0,IF(OR(AND(AUTOEVENTO="Manual",$M143=1),$M143&gt;(ROW(PLE.lastrow)-ROW(PLE.firstrow))),0,IF(OFFSET(PLE!$G$14,$M143,BD$13)="",10^12,OFFSET(PLE!$G$14,$M143,BD$13))))</f>
        <v>0</v>
      </c>
      <c r="BE143" s="217">
        <f ca="1">IF($D143&lt;&gt;"Serviço",0,IF(OR(AND(AUTOEVENTO="Manual",$M143=1),$M143&gt;(ROW(PLE.lastrow)-ROW(PLE.firstrow))),0,IF(OFFSET(PLE!$G$14,$M143,BE$13)="",10^12,OFFSET(PLE!$G$14,$M143,BE$13))))</f>
        <v>0</v>
      </c>
      <c r="BF143" s="217">
        <f ca="1">IF($D143&lt;&gt;"Serviço",0,IF(OR(AND(AUTOEVENTO="Manual",$M143=1),$M143&gt;(ROW(PLE.lastrow)-ROW(PLE.firstrow))),0,IF(OFFSET(PLE!$G$14,$M143,BF$13)="",10^12,OFFSET(PLE!$G$14,$M143,BF$13))))</f>
        <v>0</v>
      </c>
      <c r="BG143" s="217">
        <f ca="1">IF($D143&lt;&gt;"Serviço",0,IF(OR(AND(AUTOEVENTO="Manual",$M143=1),$M143&gt;(ROW(PLE.lastrow)-ROW(PLE.firstrow))),0,IF(OFFSET(PLE!$G$14,$M143,BG$13)="",10^12,OFFSET(PLE!$G$14,$M143,BG$13))))</f>
        <v>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128</v>
      </c>
      <c r="B144" s="9" t="str">
        <f ca="1">OFFSET(ORÇAMENTO!C$15,ROW(B144)-ROW(B$15),0)</f>
        <v>S</v>
      </c>
      <c r="C144" s="9" t="str">
        <f ca="1">OFFSET(ORÇAMENTO!L$15,ROW(C144)-ROW(C$15),0)</f>
        <v>F</v>
      </c>
      <c r="D144" s="146" t="str">
        <f ca="1">OFFSET(ORÇAMENTO!N$15,ROW(D144)-ROW(D$15),0)</f>
        <v>Serviço</v>
      </c>
      <c r="E144" s="206" t="str">
        <f ca="1">OFFSET(ORÇAMENTO!O$15,ROW(E144)-ROW(E$15),0)</f>
        <v>2.6.1.</v>
      </c>
      <c r="F144" s="207" t="str">
        <f ca="1">OFFSET(ORÇAMENTO!R$15,ROW(F144)-ROW(F$15),0)</f>
        <v>TELHAMENTO COM TELHA DE AÇO/ALUMÍNIO E = 0,5 MM, COM ATÉ 2 ÁGUAS, INCLUSO IÇAMENTO. AF_07/2019</v>
      </c>
      <c r="G144" s="208" t="str">
        <f ca="1">IF($D144&lt;&gt;"Serviço","",OFFSET(ORÇAMENTO!S$15,ROW(G144)-ROW(G$15),0))</f>
        <v>M2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29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13</v>
      </c>
      <c r="N144" s="212" t="str">
        <f ca="1">IF($D144&lt;&gt;"Serviço","",IF(AUTOEVENTO="Manual",IF($A144=0,"&lt;-- defina o número do agrupador",OFFSET(EVENTOS!$D$14,$A144,0)),OFFSET($F$15,$A144,0)))</f>
        <v>(COBERTURA ALUZINCO)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128</v>
      </c>
      <c r="B145" s="9" t="str">
        <f ca="1">OFFSET(ORÇAMENTO!C$15,ROW(B145)-ROW(B$15),0)</f>
        <v>S</v>
      </c>
      <c r="C145" s="9" t="str">
        <f ca="1">OFFSET(ORÇAMENTO!L$15,ROW(C145)-ROW(C$15),0)</f>
        <v>F</v>
      </c>
      <c r="D145" s="146" t="str">
        <f ca="1">OFFSET(ORÇAMENTO!N$15,ROW(D145)-ROW(D$15),0)</f>
        <v>Serviço</v>
      </c>
      <c r="E145" s="206" t="str">
        <f ca="1">OFFSET(ORÇAMENTO!O$15,ROW(E145)-ROW(E$15),0)</f>
        <v>2.6.2.</v>
      </c>
      <c r="F145" s="207" t="str">
        <f ca="1">OFFSET(ORÇAMENTO!R$15,ROW(F145)-ROW(F$15),0)</f>
        <v>TUBO ACO CARBONO COM COSTURA, NBR 5580, CLASSE L, DN = 40 MM, E = 3,0 MM, 3,34 KG/M</v>
      </c>
      <c r="G145" s="208" t="str">
        <f ca="1">IF($D145&lt;&gt;"Serviço","",OFFSET(ORÇAMENTO!S$15,ROW(G145)-ROW(G$15),0))</f>
        <v xml:space="preserve">M     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32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13</v>
      </c>
      <c r="N145" s="212" t="str">
        <f ca="1">IF($D145&lt;&gt;"Serviço","",IF(AUTOEVENTO="Manual",IF($A145=0,"&lt;-- defina o número do agrupador",OFFSET(EVENTOS!$D$14,$A145,0)),OFFSET($F$15,$A145,0)))</f>
        <v>(COBERTURA ALUZINCO)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128</v>
      </c>
      <c r="B146" s="9" t="str">
        <f ca="1">OFFSET(ORÇAMENTO!C$15,ROW(B146)-ROW(B$15),0)</f>
        <v>S</v>
      </c>
      <c r="C146" s="9" t="str">
        <f ca="1">OFFSET(ORÇAMENTO!L$15,ROW(C146)-ROW(C$15),0)</f>
        <v>F</v>
      </c>
      <c r="D146" s="146" t="str">
        <f ca="1">OFFSET(ORÇAMENTO!N$15,ROW(D146)-ROW(D$15),0)</f>
        <v>Serviço</v>
      </c>
      <c r="E146" s="206" t="str">
        <f ca="1">OFFSET(ORÇAMENTO!O$15,ROW(E146)-ROW(E$15),0)</f>
        <v>2.6.3.</v>
      </c>
      <c r="F146" s="207" t="str">
        <f ca="1">OFFSET(ORÇAMENTO!R$15,ROW(F146)-ROW(F$15),0)</f>
        <v>ESTRUTURA METÁLICA PARA COBERTURA EM ALUZINCO (PILARES E TESOURA) VÃO 8M, EM VIGA U</v>
      </c>
      <c r="G146" s="208" t="str">
        <f ca="1">IF($D146&lt;&gt;"Serviço","",OFFSET(ORÇAMENTO!S$15,ROW(G146)-ROW(G$15),0))</f>
        <v>M2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29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13</v>
      </c>
      <c r="N146" s="212" t="str">
        <f ca="1">IF($D146&lt;&gt;"Serviço","",IF(AUTOEVENTO="Manual",IF($A146=0,"&lt;-- defina o número do agrupador",OFFSET(EVENTOS!$D$14,$A146,0)),OFFSET($F$15,$A146,0)))</f>
        <v>(COBERTURA ALUZINCO)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128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13</v>
      </c>
      <c r="N147" s="212" t="str">
        <f ca="1">IF($D147&lt;&gt;"Serviço","",IF(AUTOEVENTO="Manual",IF($A147=0,"&lt;-- defina o número do agrupador",OFFSET(EVENTOS!$D$14,$A147,0)),OFFSET($F$15,$A147,0)))</f>
        <v>(COBERTURA ALUZINCO)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133.</v>
      </c>
      <c r="B148" s="9">
        <f ca="1">OFFSET(ORÇAMENTO!C$15,ROW(B148)-ROW(B$15),0)</f>
        <v>1</v>
      </c>
      <c r="C148" s="9" t="str">
        <f ca="1">OFFSET(ORÇAMENTO!L$15,ROW(C148)-ROW(C$15),0)</f>
        <v>F</v>
      </c>
      <c r="D148" s="146" t="str">
        <f ca="1">OFFSET(ORÇAMENTO!N$15,ROW(D148)-ROW(D$15),0)</f>
        <v>Meta</v>
      </c>
      <c r="E148" s="206" t="str">
        <f ca="1">OFFSET(ORÇAMENTO!O$15,ROW(E148)-ROW(E$15),0)</f>
        <v>3.</v>
      </c>
      <c r="F148" s="207" t="str">
        <f ca="1">OFFSET(ORÇAMENTO!R$15,ROW(F148)-ROW(F$15),0)</f>
        <v>(COZINHA)</v>
      </c>
      <c r="G148" s="208" t="str">
        <f ca="1">IF($D148&lt;&gt;"Serviço","",OFFSET(ORÇAMENTO!S$15,ROW(G148)-ROW(G$15),0))</f>
        <v/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 t="str">
        <f ca="1">IF($D148&lt;&gt;"Serviço","",IF(AUTOEVENTO="manual",$A148,IF(ISERROR(MATCH($A148,$A$15:OFFSET($A148,-1,0),0)),MAX($M$15:OFFSET(M148,-1,0))+1,INDEX($M$15:OFFSET(M148,-1,0),MATCH($A148,$A$15:OFFSET($A148,-1,0),0)))))</f>
        <v/>
      </c>
      <c r="N148" s="212" t="str">
        <f ca="1">IF($D148&lt;&gt;"Serviço","",IF(AUTOEVENTO="Manual",IF($A148=0,"&lt;-- defina o número do agrupador",OFFSET(EVENTOS!$D$14,$A148,0)),OFFSET($F$15,$A148,0)))</f>
        <v/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0</v>
      </c>
      <c r="AN148" s="216">
        <f ca="1">IF($D148&lt;&gt;"Serviço",0,IF(AND(AUTOEVENTO="Manual",$M148=1),0,IF(OFFSET(CRONOPLE!$F$14,$M148,AN$13)="",10^12,OFFSET(CRONOPLE!$F$14,$M148,AN$13))))</f>
        <v>0</v>
      </c>
      <c r="AO148" s="216">
        <f ca="1">IF($D148&lt;&gt;"Serviço",0,IF(AND(AUTOEVENTO="Manual",$M148=1),0,IF(OFFSET(CRONOPLE!$F$14,$M148,AO$13)="",10^12,OFFSET(CRONOPLE!$F$14,$M148,AO$13))))</f>
        <v>0</v>
      </c>
      <c r="AP148" s="216">
        <f ca="1">IF($D148&lt;&gt;"Serviço",0,IF(AND(AUTOEVENTO="Manual",$M148=1),0,IF(OFFSET(CRONOPLE!$F$14,$M148,AP$13)="",10^12,OFFSET(CRONOPLE!$F$14,$M148,AP$13))))</f>
        <v>0</v>
      </c>
      <c r="AQ148" s="216">
        <f ca="1">IF($D148&lt;&gt;"Serviço",0,IF(AND(AUTOEVENTO="Manual",$M148=1),0,IF(OFFSET(CRONOPLE!$F$14,$M148,AQ$13)="",10^12,OFFSET(CRONOPLE!$F$14,$M148,AQ$13))))</f>
        <v>0</v>
      </c>
      <c r="AR148" s="216">
        <f ca="1">IF($D148&lt;&gt;"Serviço",0,IF(AND(AUTOEVENTO="Manual",$M148=1),0,IF(OFFSET(CRONOPLE!$F$14,$M148,AR$13)="",10^12,OFFSET(CRONOPLE!$F$14,$M148,AR$13))))</f>
        <v>0</v>
      </c>
      <c r="AS148" s="216">
        <f ca="1">IF($D148&lt;&gt;"Serviço",0,IF(AND(AUTOEVENTO="Manual",$M148=1),0,IF(OFFSET(CRONOPLE!$F$14,$M148,AS$13)="",10^12,OFFSET(CRONOPLE!$F$14,$M148,AS$13))))</f>
        <v>0</v>
      </c>
      <c r="AT148" s="216">
        <f ca="1">IF($D148&lt;&gt;"Serviço",0,IF(AND(AUTOEVENTO="Manual",$M148=1),0,IF(OFFSET(CRONOPLE!$F$14,$M148,AT$13)="",10^12,OFFSET(CRONOPLE!$F$14,$M148,AT$13))))</f>
        <v>0</v>
      </c>
      <c r="AU148" s="216">
        <f ca="1">IF($D148&lt;&gt;"Serviço",0,IF(AND(AUTOEVENTO="Manual",$M148=1),0,IF(OFFSET(CRONOPLE!$F$14,$M148,AU$13)="",10^12,OFFSET(CRONOPLE!$F$14,$M148,AU$13))))</f>
        <v>0</v>
      </c>
      <c r="AV148" s="216">
        <f ca="1">IF($D148&lt;&gt;"Serviço",0,IF(AND(AUTOEVENTO="Manual",$M148=1),0,IF(OFFSET(CRONOPLE!$F$14,$M148,AV$13)="",10^12,OFFSET(CRONOPLE!$F$14,$M148,AV$13))))</f>
        <v>0</v>
      </c>
      <c r="AX148" s="217">
        <f ca="1">IF($D148&lt;&gt;"Serviço",0,IF(OR(AND(AUTOEVENTO="Manual",$M148=1),$M148&gt;(ROW(PLE.lastrow)-ROW(PLE.firstrow))),0,IF(OFFSET(PLE!$G$14,$M148,AX$13)="",10^12,OFFSET(PLE!$G$14,$M148,AX$13))))</f>
        <v>0</v>
      </c>
      <c r="AY148" s="217">
        <f ca="1">IF($D148&lt;&gt;"Serviço",0,IF(OR(AND(AUTOEVENTO="Manual",$M148=1),$M148&gt;(ROW(PLE.lastrow)-ROW(PLE.firstrow))),0,IF(OFFSET(PLE!$G$14,$M148,AY$13)="",10^12,OFFSET(PLE!$G$14,$M148,AY$13))))</f>
        <v>0</v>
      </c>
      <c r="AZ148" s="217">
        <f ca="1">IF($D148&lt;&gt;"Serviço",0,IF(OR(AND(AUTOEVENTO="Manual",$M148=1),$M148&gt;(ROW(PLE.lastrow)-ROW(PLE.firstrow))),0,IF(OFFSET(PLE!$G$14,$M148,AZ$13)="",10^12,OFFSET(PLE!$G$14,$M148,AZ$13))))</f>
        <v>0</v>
      </c>
      <c r="BA148" s="217">
        <f ca="1">IF($D148&lt;&gt;"Serviço",0,IF(OR(AND(AUTOEVENTO="Manual",$M148=1),$M148&gt;(ROW(PLE.lastrow)-ROW(PLE.firstrow))),0,IF(OFFSET(PLE!$G$14,$M148,BA$13)="",10^12,OFFSET(PLE!$G$14,$M148,BA$13))))</f>
        <v>0</v>
      </c>
      <c r="BB148" s="217">
        <f ca="1">IF($D148&lt;&gt;"Serviço",0,IF(OR(AND(AUTOEVENTO="Manual",$M148=1),$M148&gt;(ROW(PLE.lastrow)-ROW(PLE.firstrow))),0,IF(OFFSET(PLE!$G$14,$M148,BB$13)="",10^12,OFFSET(PLE!$G$14,$M148,BB$13))))</f>
        <v>0</v>
      </c>
      <c r="BC148" s="217">
        <f ca="1">IF($D148&lt;&gt;"Serviço",0,IF(OR(AND(AUTOEVENTO="Manual",$M148=1),$M148&gt;(ROW(PLE.lastrow)-ROW(PLE.firstrow))),0,IF(OFFSET(PLE!$G$14,$M148,BC$13)="",10^12,OFFSET(PLE!$G$14,$M148,BC$13))))</f>
        <v>0</v>
      </c>
      <c r="BD148" s="217">
        <f ca="1">IF($D148&lt;&gt;"Serviço",0,IF(OR(AND(AUTOEVENTO="Manual",$M148=1),$M148&gt;(ROW(PLE.lastrow)-ROW(PLE.firstrow))),0,IF(OFFSET(PLE!$G$14,$M148,BD$13)="",10^12,OFFSET(PLE!$G$14,$M148,BD$13))))</f>
        <v>0</v>
      </c>
      <c r="BE148" s="217">
        <f ca="1">IF($D148&lt;&gt;"Serviço",0,IF(OR(AND(AUTOEVENTO="Manual",$M148=1),$M148&gt;(ROW(PLE.lastrow)-ROW(PLE.firstrow))),0,IF(OFFSET(PLE!$G$14,$M148,BE$13)="",10^12,OFFSET(PLE!$G$14,$M148,BE$13))))</f>
        <v>0</v>
      </c>
      <c r="BF148" s="217">
        <f ca="1">IF($D148&lt;&gt;"Serviço",0,IF(OR(AND(AUTOEVENTO="Manual",$M148=1),$M148&gt;(ROW(PLE.lastrow)-ROW(PLE.firstrow))),0,IF(OFFSET(PLE!$G$14,$M148,BF$13)="",10^12,OFFSET(PLE!$G$14,$M148,BF$13))))</f>
        <v>0</v>
      </c>
      <c r="BG148" s="217">
        <f ca="1">IF($D148&lt;&gt;"Serviço",0,IF(OR(AND(AUTOEVENTO="Manual",$M148=1),$M148&gt;(ROW(PLE.lastrow)-ROW(PLE.firstrow))),0,IF(OFFSET(PLE!$G$14,$M148,BG$13)="",10^12,OFFSET(PLE!$G$14,$M148,BG$13))))</f>
        <v>0</v>
      </c>
    </row>
    <row r="149" spans="1:59" ht="12.75" x14ac:dyDescent="0.2">
      <c r="A149" s="9" t="str">
        <f t="shared" ca="1" si="10"/>
        <v>134.</v>
      </c>
      <c r="B149" s="9">
        <f ca="1">OFFSET(ORÇAMENTO!C$15,ROW(B149)-ROW(B$15),0)</f>
        <v>2</v>
      </c>
      <c r="C149" s="9" t="str">
        <f ca="1">OFFSET(ORÇAMENTO!L$15,ROW(C149)-ROW(C$15),0)</f>
        <v>F</v>
      </c>
      <c r="D149" s="146" t="str">
        <f ca="1">OFFSET(ORÇAMENTO!N$15,ROW(D149)-ROW(D$15),0)</f>
        <v>Nível 2</v>
      </c>
      <c r="E149" s="206" t="str">
        <f ca="1">OFFSET(ORÇAMENTO!O$15,ROW(E149)-ROW(E$15),0)</f>
        <v>3.1.</v>
      </c>
      <c r="F149" s="207" t="str">
        <f ca="1">OFFSET(ORÇAMENTO!R$15,ROW(F149)-ROW(F$15),0)</f>
        <v>(FUNDAÇÕES RASAS, VIGA BALDRAME, PILARES, VIGAS)</v>
      </c>
      <c r="G149" s="208" t="str">
        <f ca="1">IF($D149&lt;&gt;"Serviço","",OFFSET(ORÇAMENTO!S$15,ROW(G149)-ROW(G$15),0))</f>
        <v/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 t="str">
        <f ca="1">IF($D149&lt;&gt;"Serviço","",IF(AUTOEVENTO="manual",$A149,IF(ISERROR(MATCH($A149,$A$15:OFFSET($A149,-1,0),0)),MAX($M$15:OFFSET(M149,-1,0))+1,INDEX($M$15:OFFSET(M149,-1,0),MATCH($A149,$A$15:OFFSET($A149,-1,0),0)))))</f>
        <v/>
      </c>
      <c r="N149" s="212" t="str">
        <f ca="1">IF($D149&lt;&gt;"Serviço","",IF(AUTOEVENTO="Manual",IF($A149=0,"&lt;-- defina o número do agrupador",OFFSET(EVENTOS!$D$14,$A149,0)),OFFSET($F$15,$A149,0)))</f>
        <v/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0</v>
      </c>
      <c r="AN149" s="216">
        <f ca="1">IF($D149&lt;&gt;"Serviço",0,IF(AND(AUTOEVENTO="Manual",$M149=1),0,IF(OFFSET(CRONOPLE!$F$14,$M149,AN$13)="",10^12,OFFSET(CRONOPLE!$F$14,$M149,AN$13))))</f>
        <v>0</v>
      </c>
      <c r="AO149" s="216">
        <f ca="1">IF($D149&lt;&gt;"Serviço",0,IF(AND(AUTOEVENTO="Manual",$M149=1),0,IF(OFFSET(CRONOPLE!$F$14,$M149,AO$13)="",10^12,OFFSET(CRONOPLE!$F$14,$M149,AO$13))))</f>
        <v>0</v>
      </c>
      <c r="AP149" s="216">
        <f ca="1">IF($D149&lt;&gt;"Serviço",0,IF(AND(AUTOEVENTO="Manual",$M149=1),0,IF(OFFSET(CRONOPLE!$F$14,$M149,AP$13)="",10^12,OFFSET(CRONOPLE!$F$14,$M149,AP$13))))</f>
        <v>0</v>
      </c>
      <c r="AQ149" s="216">
        <f ca="1">IF($D149&lt;&gt;"Serviço",0,IF(AND(AUTOEVENTO="Manual",$M149=1),0,IF(OFFSET(CRONOPLE!$F$14,$M149,AQ$13)="",10^12,OFFSET(CRONOPLE!$F$14,$M149,AQ$13))))</f>
        <v>0</v>
      </c>
      <c r="AR149" s="216">
        <f ca="1">IF($D149&lt;&gt;"Serviço",0,IF(AND(AUTOEVENTO="Manual",$M149=1),0,IF(OFFSET(CRONOPLE!$F$14,$M149,AR$13)="",10^12,OFFSET(CRONOPLE!$F$14,$M149,AR$13))))</f>
        <v>0</v>
      </c>
      <c r="AS149" s="216">
        <f ca="1">IF($D149&lt;&gt;"Serviço",0,IF(AND(AUTOEVENTO="Manual",$M149=1),0,IF(OFFSET(CRONOPLE!$F$14,$M149,AS$13)="",10^12,OFFSET(CRONOPLE!$F$14,$M149,AS$13))))</f>
        <v>0</v>
      </c>
      <c r="AT149" s="216">
        <f ca="1">IF($D149&lt;&gt;"Serviço",0,IF(AND(AUTOEVENTO="Manual",$M149=1),0,IF(OFFSET(CRONOPLE!$F$14,$M149,AT$13)="",10^12,OFFSET(CRONOPLE!$F$14,$M149,AT$13))))</f>
        <v>0</v>
      </c>
      <c r="AU149" s="216">
        <f ca="1">IF($D149&lt;&gt;"Serviço",0,IF(AND(AUTOEVENTO="Manual",$M149=1),0,IF(OFFSET(CRONOPLE!$F$14,$M149,AU$13)="",10^12,OFFSET(CRONOPLE!$F$14,$M149,AU$13))))</f>
        <v>0</v>
      </c>
      <c r="AV149" s="216">
        <f ca="1">IF($D149&lt;&gt;"Serviço",0,IF(AND(AUTOEVENTO="Manual",$M149=1),0,IF(OFFSET(CRONOPLE!$F$14,$M149,AV$13)="",10^12,OFFSET(CRONOPLE!$F$14,$M149,AV$13))))</f>
        <v>0</v>
      </c>
      <c r="AX149" s="217">
        <f ca="1">IF($D149&lt;&gt;"Serviço",0,IF(OR(AND(AUTOEVENTO="Manual",$M149=1),$M149&gt;(ROW(PLE.lastrow)-ROW(PLE.firstrow))),0,IF(OFFSET(PLE!$G$14,$M149,AX$13)="",10^12,OFFSET(PLE!$G$14,$M149,AX$13))))</f>
        <v>0</v>
      </c>
      <c r="AY149" s="217">
        <f ca="1">IF($D149&lt;&gt;"Serviço",0,IF(OR(AND(AUTOEVENTO="Manual",$M149=1),$M149&gt;(ROW(PLE.lastrow)-ROW(PLE.firstrow))),0,IF(OFFSET(PLE!$G$14,$M149,AY$13)="",10^12,OFFSET(PLE!$G$14,$M149,AY$13))))</f>
        <v>0</v>
      </c>
      <c r="AZ149" s="217">
        <f ca="1">IF($D149&lt;&gt;"Serviço",0,IF(OR(AND(AUTOEVENTO="Manual",$M149=1),$M149&gt;(ROW(PLE.lastrow)-ROW(PLE.firstrow))),0,IF(OFFSET(PLE!$G$14,$M149,AZ$13)="",10^12,OFFSET(PLE!$G$14,$M149,AZ$13))))</f>
        <v>0</v>
      </c>
      <c r="BA149" s="217">
        <f ca="1">IF($D149&lt;&gt;"Serviço",0,IF(OR(AND(AUTOEVENTO="Manual",$M149=1),$M149&gt;(ROW(PLE.lastrow)-ROW(PLE.firstrow))),0,IF(OFFSET(PLE!$G$14,$M149,BA$13)="",10^12,OFFSET(PLE!$G$14,$M149,BA$13))))</f>
        <v>0</v>
      </c>
      <c r="BB149" s="217">
        <f ca="1">IF($D149&lt;&gt;"Serviço",0,IF(OR(AND(AUTOEVENTO="Manual",$M149=1),$M149&gt;(ROW(PLE.lastrow)-ROW(PLE.firstrow))),0,IF(OFFSET(PLE!$G$14,$M149,BB$13)="",10^12,OFFSET(PLE!$G$14,$M149,BB$13))))</f>
        <v>0</v>
      </c>
      <c r="BC149" s="217">
        <f ca="1">IF($D149&lt;&gt;"Serviço",0,IF(OR(AND(AUTOEVENTO="Manual",$M149=1),$M149&gt;(ROW(PLE.lastrow)-ROW(PLE.firstrow))),0,IF(OFFSET(PLE!$G$14,$M149,BC$13)="",10^12,OFFSET(PLE!$G$14,$M149,BC$13))))</f>
        <v>0</v>
      </c>
      <c r="BD149" s="217">
        <f ca="1">IF($D149&lt;&gt;"Serviço",0,IF(OR(AND(AUTOEVENTO="Manual",$M149=1),$M149&gt;(ROW(PLE.lastrow)-ROW(PLE.firstrow))),0,IF(OFFSET(PLE!$G$14,$M149,BD$13)="",10^12,OFFSET(PLE!$G$14,$M149,BD$13))))</f>
        <v>0</v>
      </c>
      <c r="BE149" s="217">
        <f ca="1">IF($D149&lt;&gt;"Serviço",0,IF(OR(AND(AUTOEVENTO="Manual",$M149=1),$M149&gt;(ROW(PLE.lastrow)-ROW(PLE.firstrow))),0,IF(OFFSET(PLE!$G$14,$M149,BE$13)="",10^12,OFFSET(PLE!$G$14,$M149,BE$13))))</f>
        <v>0</v>
      </c>
      <c r="BF149" s="217">
        <f ca="1">IF($D149&lt;&gt;"Serviço",0,IF(OR(AND(AUTOEVENTO="Manual",$M149=1),$M149&gt;(ROW(PLE.lastrow)-ROW(PLE.firstrow))),0,IF(OFFSET(PLE!$G$14,$M149,BF$13)="",10^12,OFFSET(PLE!$G$14,$M149,BF$13))))</f>
        <v>0</v>
      </c>
      <c r="BG149" s="217">
        <f ca="1">IF($D149&lt;&gt;"Serviço",0,IF(OR(AND(AUTOEVENTO="Manual",$M149=1),$M149&gt;(ROW(PLE.lastrow)-ROW(PLE.firstrow))),0,IF(OFFSET(PLE!$G$14,$M149,BG$13)="",10^12,OFFSET(PLE!$G$14,$M149,BG$13))))</f>
        <v>0</v>
      </c>
    </row>
    <row r="150" spans="1:59" ht="25.5" x14ac:dyDescent="0.2">
      <c r="A150" s="9" t="str">
        <f t="shared" ca="1" si="10"/>
        <v>134</v>
      </c>
      <c r="B150" s="9" t="str">
        <f ca="1">OFFSET(ORÇAMENTO!C$15,ROW(B150)-ROW(B$15),0)</f>
        <v>S</v>
      </c>
      <c r="C150" s="9" t="str">
        <f ca="1">OFFSET(ORÇAMENTO!L$15,ROW(C150)-ROW(C$15),0)</f>
        <v>F</v>
      </c>
      <c r="D150" s="146" t="str">
        <f ca="1">OFFSET(ORÇAMENTO!N$15,ROW(D150)-ROW(D$15),0)</f>
        <v>Serviço</v>
      </c>
      <c r="E150" s="206" t="str">
        <f ca="1">OFFSET(ORÇAMENTO!O$15,ROW(E150)-ROW(E$15),0)</f>
        <v>3.1.1.</v>
      </c>
      <c r="F150" s="207" t="str">
        <f ca="1">OFFSET(ORÇAMENTO!R$15,ROW(F150)-ROW(F$15),0)</f>
        <v>TABUA DE MADEIRA NAO APARELHADA *2,5 X 30* CM, CEDRINHO OU EQUIVALENTE DA REGIAO</v>
      </c>
      <c r="G150" s="208" t="str">
        <f ca="1">IF($D150&lt;&gt;"Serviço","",OFFSET(ORÇAMENTO!S$15,ROW(G150)-ROW(G$15),0))</f>
        <v xml:space="preserve">M     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12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14</v>
      </c>
      <c r="N150" s="212" t="str">
        <f ca="1">IF($D150&lt;&gt;"Serviço","",IF(AUTOEVENTO="Manual",IF($A150=0,"&lt;-- defina o número do agrupador",OFFSET(EVENTOS!$D$14,$A150,0)),OFFSET($F$15,$A150,0)))</f>
        <v>(FUNDAÇÕES RASAS, VIGA BALDRAME, PILARES, VIGAS)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25.5" x14ac:dyDescent="0.2">
      <c r="A151" s="9" t="str">
        <f t="shared" ca="1" si="10"/>
        <v>134</v>
      </c>
      <c r="B151" s="9" t="str">
        <f ca="1">OFFSET(ORÇAMENTO!C$15,ROW(B151)-ROW(B$15),0)</f>
        <v>S</v>
      </c>
      <c r="C151" s="9" t="str">
        <f ca="1">OFFSET(ORÇAMENTO!L$15,ROW(C151)-ROW(C$15),0)</f>
        <v>F</v>
      </c>
      <c r="D151" s="146" t="str">
        <f ca="1">OFFSET(ORÇAMENTO!N$15,ROW(D151)-ROW(D$15),0)</f>
        <v>Serviço</v>
      </c>
      <c r="E151" s="206" t="str">
        <f ca="1">OFFSET(ORÇAMENTO!O$15,ROW(E151)-ROW(E$15),0)</f>
        <v>3.1.2.</v>
      </c>
      <c r="F151" s="207" t="str">
        <f ca="1">OFFSET(ORÇAMENTO!R$15,ROW(F151)-ROW(F$15),0)</f>
        <v>ALVENARIA DE VEDAÇÃO DE BLOCOS CERÂMICOS FURADOS NA VERTICAL DE 14X19X39CM (ESPESSURA 14CM) DE PAREDES COM ÁREA LÍQUIDA MENOR QUE 6M² SEM VÃOS E ARGAMASSA DE ASSENTAMENTO COM PREPARO EM BETONEIRA. AF_06/2014</v>
      </c>
      <c r="G151" s="208" t="str">
        <f ca="1">IF($D151&lt;&gt;"Serviço","",OFFSET(ORÇAMENTO!S$15,ROW(G151)-ROW(G$15),0))</f>
        <v>M2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22.54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14</v>
      </c>
      <c r="N151" s="212" t="str">
        <f ca="1">IF($D151&lt;&gt;"Serviço","",IF(AUTOEVENTO="Manual",IF($A151=0,"&lt;-- defina o número do agrupador",OFFSET(EVENTOS!$D$14,$A151,0)),OFFSET($F$15,$A151,0)))</f>
        <v>(FUNDAÇÕES RASAS, VIGA BALDRAME, PILARES, VIGAS)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25.5" x14ac:dyDescent="0.2">
      <c r="A152" s="9" t="str">
        <f t="shared" ca="1" si="10"/>
        <v>134</v>
      </c>
      <c r="B152" s="9" t="str">
        <f ca="1">OFFSET(ORÇAMENTO!C$15,ROW(B152)-ROW(B$15),0)</f>
        <v>S</v>
      </c>
      <c r="C152" s="9" t="str">
        <f ca="1">OFFSET(ORÇAMENTO!L$15,ROW(C152)-ROW(C$15),0)</f>
        <v>F</v>
      </c>
      <c r="D152" s="146" t="str">
        <f ca="1">OFFSET(ORÇAMENTO!N$15,ROW(D152)-ROW(D$15),0)</f>
        <v>Serviço</v>
      </c>
      <c r="E152" s="206" t="str">
        <f ca="1">OFFSET(ORÇAMENTO!O$15,ROW(E152)-ROW(E$15),0)</f>
        <v>3.1.3.</v>
      </c>
      <c r="F152" s="207" t="str">
        <f ca="1">OFFSET(ORÇAMENTO!R$15,ROW(F152)-ROW(F$15),0)</f>
        <v>ESCAVACAO MECANICA CAMPO ABERTO EM SOLO EXCETO ROCHA ATE 2,00M PROFUNDIDADE</v>
      </c>
      <c r="G152" s="208" t="str">
        <f ca="1">IF($D152&lt;&gt;"Serviço","",OFFSET(ORÇAMENTO!S$15,ROW(G152)-ROW(G$15),0))</f>
        <v>M3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5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14</v>
      </c>
      <c r="N152" s="212" t="str">
        <f ca="1">IF($D152&lt;&gt;"Serviço","",IF(AUTOEVENTO="Manual",IF($A152=0,"&lt;-- defina o número do agrupador",OFFSET(EVENTOS!$D$14,$A152,0)),OFFSET($F$15,$A152,0)))</f>
        <v>(FUNDAÇÕES RASAS, VIGA BALDRAME, PILARES, VIGAS)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25.5" x14ac:dyDescent="0.2">
      <c r="A153" s="9" t="str">
        <f t="shared" ca="1" si="10"/>
        <v>134</v>
      </c>
      <c r="B153" s="9" t="str">
        <f ca="1">OFFSET(ORÇAMENTO!C$15,ROW(B153)-ROW(B$15),0)</f>
        <v>S</v>
      </c>
      <c r="C153" s="9" t="str">
        <f ca="1">OFFSET(ORÇAMENTO!L$15,ROW(C153)-ROW(C$15),0)</f>
        <v>F</v>
      </c>
      <c r="D153" s="146" t="str">
        <f ca="1">OFFSET(ORÇAMENTO!N$15,ROW(D153)-ROW(D$15),0)</f>
        <v>Serviço</v>
      </c>
      <c r="E153" s="206" t="str">
        <f ca="1">OFFSET(ORÇAMENTO!O$15,ROW(E153)-ROW(E$15),0)</f>
        <v>3.1.4.</v>
      </c>
      <c r="F153" s="207" t="str">
        <f ca="1">OFFSET(ORÇAMENTO!R$15,ROW(F153)-ROW(F$15),0)</f>
        <v>CONCRETO FCK = 20MPA, TRAÇO 1:2,7:3 (CIMENTO/ AREIA MÉDIA/ BRITA 1)  - PREPARO MECÂNICO COM BETONEIRA 400 L. AF_07/2016</v>
      </c>
      <c r="G153" s="208" t="str">
        <f ca="1">IF($D153&lt;&gt;"Serviço","",OFFSET(ORÇAMENTO!S$15,ROW(G153)-ROW(G$15),0))</f>
        <v>M3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1.26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14</v>
      </c>
      <c r="N153" s="212" t="str">
        <f ca="1">IF($D153&lt;&gt;"Serviço","",IF(AUTOEVENTO="Manual",IF($A153=0,"&lt;-- defina o número do agrupador",OFFSET(EVENTOS!$D$14,$A153,0)),OFFSET($F$15,$A153,0)))</f>
        <v>(FUNDAÇÕES RASAS, VIGA BALDRAME, PILARES, VIGAS)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25.5" x14ac:dyDescent="0.2">
      <c r="A154" s="9" t="str">
        <f t="shared" ca="1" si="10"/>
        <v>134</v>
      </c>
      <c r="B154" s="9" t="str">
        <f ca="1">OFFSET(ORÇAMENTO!C$15,ROW(B154)-ROW(B$15),0)</f>
        <v>S</v>
      </c>
      <c r="C154" s="9" t="str">
        <f ca="1">OFFSET(ORÇAMENTO!L$15,ROW(C154)-ROW(C$15),0)</f>
        <v>F</v>
      </c>
      <c r="D154" s="146" t="str">
        <f ca="1">OFFSET(ORÇAMENTO!N$15,ROW(D154)-ROW(D$15),0)</f>
        <v>Serviço</v>
      </c>
      <c r="E154" s="206" t="str">
        <f ca="1">OFFSET(ORÇAMENTO!O$15,ROW(E154)-ROW(E$15),0)</f>
        <v>3.1.5.</v>
      </c>
      <c r="F154" s="207" t="str">
        <f ca="1">OFFSET(ORÇAMENTO!R$15,ROW(F154)-ROW(F$15),0)</f>
        <v>DEMOLIÇÃO DE ALVENARIA DE BLOCO FURADO, DE FORMA MANUAL, SEM REAPROVEITAMENTO. AF_12/2017</v>
      </c>
      <c r="G154" s="208" t="str">
        <f ca="1">IF($D154&lt;&gt;"Serviço","",OFFSET(ORÇAMENTO!S$15,ROW(G154)-ROW(G$15),0))</f>
        <v>M3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1.5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14</v>
      </c>
      <c r="N154" s="212" t="str">
        <f ca="1">IF($D154&lt;&gt;"Serviço","",IF(AUTOEVENTO="Manual",IF($A154=0,"&lt;-- defina o número do agrupador",OFFSET(EVENTOS!$D$14,$A154,0)),OFFSET($F$15,$A154,0)))</f>
        <v>(FUNDAÇÕES RASAS, VIGA BALDRAME, PILARES, VIGAS)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25.5" x14ac:dyDescent="0.2">
      <c r="A155" s="9" t="str">
        <f t="shared" ca="1" si="10"/>
        <v>134</v>
      </c>
      <c r="B155" s="9" t="str">
        <f ca="1">OFFSET(ORÇAMENTO!C$15,ROW(B155)-ROW(B$15),0)</f>
        <v>S</v>
      </c>
      <c r="C155" s="9" t="str">
        <f ca="1">OFFSET(ORÇAMENTO!L$15,ROW(C155)-ROW(C$15),0)</f>
        <v>F</v>
      </c>
      <c r="D155" s="146" t="str">
        <f ca="1">OFFSET(ORÇAMENTO!N$15,ROW(D155)-ROW(D$15),0)</f>
        <v>Serviço</v>
      </c>
      <c r="E155" s="206" t="str">
        <f ca="1">OFFSET(ORÇAMENTO!O$15,ROW(E155)-ROW(E$15),0)</f>
        <v>3.1.6.</v>
      </c>
      <c r="F155" s="207" t="str">
        <f ca="1">OFFSET(ORÇAMENTO!R$15,ROW(F155)-ROW(F$15),0)</f>
        <v>ARMAÇÃO DE PILAR OU VIGA DE UMA ESTRUTURA CONVENCIONAL DE CONCRETO ARMADO EM UM EDIFÍCIO DE MÚLTIPLOS PAVIMENTOS UTILIZANDO AÇO CA-50 DE 6,3 MM - MONTAGEM. AF_12/2015</v>
      </c>
      <c r="G155" s="208" t="str">
        <f ca="1">IF($D155&lt;&gt;"Serviço","",OFFSET(ORÇAMENTO!S$15,ROW(G155)-ROW(G$15),0))</f>
        <v>KG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26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14</v>
      </c>
      <c r="N155" s="212" t="str">
        <f ca="1">IF($D155&lt;&gt;"Serviço","",IF(AUTOEVENTO="Manual",IF($A155=0,"&lt;-- defina o número do agrupador",OFFSET(EVENTOS!$D$14,$A155,0)),OFFSET($F$15,$A155,0)))</f>
        <v>(FUNDAÇÕES RASAS, VIGA BALDRAME, PILARES, VIGAS)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25.5" x14ac:dyDescent="0.2">
      <c r="A156" s="9" t="str">
        <f t="shared" ca="1" si="10"/>
        <v>134</v>
      </c>
      <c r="B156" s="9" t="str">
        <f ca="1">OFFSET(ORÇAMENTO!C$15,ROW(B156)-ROW(B$15),0)</f>
        <v>S</v>
      </c>
      <c r="C156" s="9" t="str">
        <f ca="1">OFFSET(ORÇAMENTO!L$15,ROW(C156)-ROW(C$15),0)</f>
        <v>F</v>
      </c>
      <c r="D156" s="146" t="str">
        <f ca="1">OFFSET(ORÇAMENTO!N$15,ROW(D156)-ROW(D$15),0)</f>
        <v>Serviço</v>
      </c>
      <c r="E156" s="206" t="str">
        <f ca="1">OFFSET(ORÇAMENTO!O$15,ROW(E156)-ROW(E$15),0)</f>
        <v>3.1.7.</v>
      </c>
      <c r="F156" s="207" t="str">
        <f ca="1">OFFSET(ORÇAMENTO!R$15,ROW(F156)-ROW(F$15),0)</f>
        <v>ARMAÇÃO DE PILAR OU VIGA DE UMA ESTRUTURA CONVENCIONAL DE CONCRETO ARMADO EM UM EDIFÍCIO DE MÚLTIPLOS PAVIMENTOS UTILIZANDO AÇO CA-50 DE 10,0 MM - MONTAGEM. AF_12/2015</v>
      </c>
      <c r="G156" s="208" t="str">
        <f ca="1">IF($D156&lt;&gt;"Serviço","",OFFSET(ORÇAMENTO!S$15,ROW(G156)-ROW(G$15),0))</f>
        <v>KG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119.93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14</v>
      </c>
      <c r="N156" s="212" t="str">
        <f ca="1">IF($D156&lt;&gt;"Serviço","",IF(AUTOEVENTO="Manual",IF($A156=0,"&lt;-- defina o número do agrupador",OFFSET(EVENTOS!$D$14,$A156,0)),OFFSET($F$15,$A156,0)))</f>
        <v>(FUNDAÇÕES RASAS, VIGA BALDRAME, PILARES, VIGAS)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25.5" x14ac:dyDescent="0.2">
      <c r="A157" s="9" t="str">
        <f t="shared" ca="1" si="10"/>
        <v>134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14</v>
      </c>
      <c r="N157" s="212" t="str">
        <f ca="1">IF($D157&lt;&gt;"Serviço","",IF(AUTOEVENTO="Manual",IF($A157=0,"&lt;-- defina o número do agrupador",OFFSET(EVENTOS!$D$14,$A157,0)),OFFSET($F$15,$A157,0)))</f>
        <v>(FUNDAÇÕES RASAS, VIGA BALDRAME, PILARES, VIGAS)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25.5" x14ac:dyDescent="0.2">
      <c r="A158" s="9" t="str">
        <f t="shared" ca="1" si="10"/>
        <v>134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14</v>
      </c>
      <c r="N158" s="212" t="str">
        <f ca="1">IF($D158&lt;&gt;"Serviço","",IF(AUTOEVENTO="Manual",IF($A158=0,"&lt;-- defina o número do agrupador",OFFSET(EVENTOS!$D$14,$A158,0)),OFFSET($F$15,$A158,0)))</f>
        <v>(FUNDAÇÕES RASAS, VIGA BALDRAME, PILARES, VIGAS)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144.</v>
      </c>
      <c r="B159" s="9">
        <f ca="1">OFFSET(ORÇAMENTO!C$15,ROW(B159)-ROW(B$15),0)</f>
        <v>2</v>
      </c>
      <c r="C159" s="9" t="str">
        <f ca="1">OFFSET(ORÇAMENTO!L$15,ROW(C159)-ROW(C$15),0)</f>
        <v>F</v>
      </c>
      <c r="D159" s="146" t="str">
        <f ca="1">OFFSET(ORÇAMENTO!N$15,ROW(D159)-ROW(D$15),0)</f>
        <v>Nível 2</v>
      </c>
      <c r="E159" s="206" t="str">
        <f ca="1">OFFSET(ORÇAMENTO!O$15,ROW(E159)-ROW(E$15),0)</f>
        <v>3.2.</v>
      </c>
      <c r="F159" s="207" t="str">
        <f ca="1">OFFSET(ORÇAMENTO!R$15,ROW(F159)-ROW(F$15),0)</f>
        <v>(COBERTURAS / FORROS)</v>
      </c>
      <c r="G159" s="208" t="str">
        <f ca="1">IF($D159&lt;&gt;"Serviço","",OFFSET(ORÇAMENTO!S$15,ROW(G159)-ROW(G$15),0))</f>
        <v/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 t="str">
        <f ca="1">IF($D159&lt;&gt;"Serviço","",IF(AUTOEVENTO="manual",$A159,IF(ISERROR(MATCH($A159,$A$15:OFFSET($A159,-1,0),0)),MAX($M$15:OFFSET(M159,-1,0))+1,INDEX($M$15:OFFSET(M159,-1,0),MATCH($A159,$A$15:OFFSET($A159,-1,0),0)))))</f>
        <v/>
      </c>
      <c r="N159" s="212" t="str">
        <f ca="1">IF($D159&lt;&gt;"Serviço","",IF(AUTOEVENTO="Manual",IF($A159=0,"&lt;-- defina o número do agrupador",OFFSET(EVENTOS!$D$14,$A159,0)),OFFSET($F$15,$A159,0)))</f>
        <v/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0</v>
      </c>
      <c r="AN159" s="216">
        <f ca="1">IF($D159&lt;&gt;"Serviço",0,IF(AND(AUTOEVENTO="Manual",$M159=1),0,IF(OFFSET(CRONOPLE!$F$14,$M159,AN$13)="",10^12,OFFSET(CRONOPLE!$F$14,$M159,AN$13))))</f>
        <v>0</v>
      </c>
      <c r="AO159" s="216">
        <f ca="1">IF($D159&lt;&gt;"Serviço",0,IF(AND(AUTOEVENTO="Manual",$M159=1),0,IF(OFFSET(CRONOPLE!$F$14,$M159,AO$13)="",10^12,OFFSET(CRONOPLE!$F$14,$M159,AO$13))))</f>
        <v>0</v>
      </c>
      <c r="AP159" s="216">
        <f ca="1">IF($D159&lt;&gt;"Serviço",0,IF(AND(AUTOEVENTO="Manual",$M159=1),0,IF(OFFSET(CRONOPLE!$F$14,$M159,AP$13)="",10^12,OFFSET(CRONOPLE!$F$14,$M159,AP$13))))</f>
        <v>0</v>
      </c>
      <c r="AQ159" s="216">
        <f ca="1">IF($D159&lt;&gt;"Serviço",0,IF(AND(AUTOEVENTO="Manual",$M159=1),0,IF(OFFSET(CRONOPLE!$F$14,$M159,AQ$13)="",10^12,OFFSET(CRONOPLE!$F$14,$M159,AQ$13))))</f>
        <v>0</v>
      </c>
      <c r="AR159" s="216">
        <f ca="1">IF($D159&lt;&gt;"Serviço",0,IF(AND(AUTOEVENTO="Manual",$M159=1),0,IF(OFFSET(CRONOPLE!$F$14,$M159,AR$13)="",10^12,OFFSET(CRONOPLE!$F$14,$M159,AR$13))))</f>
        <v>0</v>
      </c>
      <c r="AS159" s="216">
        <f ca="1">IF($D159&lt;&gt;"Serviço",0,IF(AND(AUTOEVENTO="Manual",$M159=1),0,IF(OFFSET(CRONOPLE!$F$14,$M159,AS$13)="",10^12,OFFSET(CRONOPLE!$F$14,$M159,AS$13))))</f>
        <v>0</v>
      </c>
      <c r="AT159" s="216">
        <f ca="1">IF($D159&lt;&gt;"Serviço",0,IF(AND(AUTOEVENTO="Manual",$M159=1),0,IF(OFFSET(CRONOPLE!$F$14,$M159,AT$13)="",10^12,OFFSET(CRONOPLE!$F$14,$M159,AT$13))))</f>
        <v>0</v>
      </c>
      <c r="AU159" s="216">
        <f ca="1">IF($D159&lt;&gt;"Serviço",0,IF(AND(AUTOEVENTO="Manual",$M159=1),0,IF(OFFSET(CRONOPLE!$F$14,$M159,AU$13)="",10^12,OFFSET(CRONOPLE!$F$14,$M159,AU$13))))</f>
        <v>0</v>
      </c>
      <c r="AV159" s="216">
        <f ca="1">IF($D159&lt;&gt;"Serviço",0,IF(AND(AUTOEVENTO="Manual",$M159=1),0,IF(OFFSET(CRONOPLE!$F$14,$M159,AV$13)="",10^12,OFFSET(CRONOPLE!$F$14,$M159,AV$13))))</f>
        <v>0</v>
      </c>
      <c r="AX159" s="217">
        <f ca="1">IF($D159&lt;&gt;"Serviço",0,IF(OR(AND(AUTOEVENTO="Manual",$M159=1),$M159&gt;(ROW(PLE.lastrow)-ROW(PLE.firstrow))),0,IF(OFFSET(PLE!$G$14,$M159,AX$13)="",10^12,OFFSET(PLE!$G$14,$M159,AX$13))))</f>
        <v>0</v>
      </c>
      <c r="AY159" s="217">
        <f ca="1">IF($D159&lt;&gt;"Serviço",0,IF(OR(AND(AUTOEVENTO="Manual",$M159=1),$M159&gt;(ROW(PLE.lastrow)-ROW(PLE.firstrow))),0,IF(OFFSET(PLE!$G$14,$M159,AY$13)="",10^12,OFFSET(PLE!$G$14,$M159,AY$13))))</f>
        <v>0</v>
      </c>
      <c r="AZ159" s="217">
        <f ca="1">IF($D159&lt;&gt;"Serviço",0,IF(OR(AND(AUTOEVENTO="Manual",$M159=1),$M159&gt;(ROW(PLE.lastrow)-ROW(PLE.firstrow))),0,IF(OFFSET(PLE!$G$14,$M159,AZ$13)="",10^12,OFFSET(PLE!$G$14,$M159,AZ$13))))</f>
        <v>0</v>
      </c>
      <c r="BA159" s="217">
        <f ca="1">IF($D159&lt;&gt;"Serviço",0,IF(OR(AND(AUTOEVENTO="Manual",$M159=1),$M159&gt;(ROW(PLE.lastrow)-ROW(PLE.firstrow))),0,IF(OFFSET(PLE!$G$14,$M159,BA$13)="",10^12,OFFSET(PLE!$G$14,$M159,BA$13))))</f>
        <v>0</v>
      </c>
      <c r="BB159" s="217">
        <f ca="1">IF($D159&lt;&gt;"Serviço",0,IF(OR(AND(AUTOEVENTO="Manual",$M159=1),$M159&gt;(ROW(PLE.lastrow)-ROW(PLE.firstrow))),0,IF(OFFSET(PLE!$G$14,$M159,BB$13)="",10^12,OFFSET(PLE!$G$14,$M159,BB$13))))</f>
        <v>0</v>
      </c>
      <c r="BC159" s="217">
        <f ca="1">IF($D159&lt;&gt;"Serviço",0,IF(OR(AND(AUTOEVENTO="Manual",$M159=1),$M159&gt;(ROW(PLE.lastrow)-ROW(PLE.firstrow))),0,IF(OFFSET(PLE!$G$14,$M159,BC$13)="",10^12,OFFSET(PLE!$G$14,$M159,BC$13))))</f>
        <v>0</v>
      </c>
      <c r="BD159" s="217">
        <f ca="1">IF($D159&lt;&gt;"Serviço",0,IF(OR(AND(AUTOEVENTO="Manual",$M159=1),$M159&gt;(ROW(PLE.lastrow)-ROW(PLE.firstrow))),0,IF(OFFSET(PLE!$G$14,$M159,BD$13)="",10^12,OFFSET(PLE!$G$14,$M159,BD$13))))</f>
        <v>0</v>
      </c>
      <c r="BE159" s="217">
        <f ca="1">IF($D159&lt;&gt;"Serviço",0,IF(OR(AND(AUTOEVENTO="Manual",$M159=1),$M159&gt;(ROW(PLE.lastrow)-ROW(PLE.firstrow))),0,IF(OFFSET(PLE!$G$14,$M159,BE$13)="",10^12,OFFSET(PLE!$G$14,$M159,BE$13))))</f>
        <v>0</v>
      </c>
      <c r="BF159" s="217">
        <f ca="1">IF($D159&lt;&gt;"Serviço",0,IF(OR(AND(AUTOEVENTO="Manual",$M159=1),$M159&gt;(ROW(PLE.lastrow)-ROW(PLE.firstrow))),0,IF(OFFSET(PLE!$G$14,$M159,BF$13)="",10^12,OFFSET(PLE!$G$14,$M159,BF$13))))</f>
        <v>0</v>
      </c>
      <c r="BG159" s="217">
        <f ca="1">IF($D159&lt;&gt;"Serviço",0,IF(OR(AND(AUTOEVENTO="Manual",$M159=1),$M159&gt;(ROW(PLE.lastrow)-ROW(PLE.firstrow))),0,IF(OFFSET(PLE!$G$14,$M159,BG$13)="",10^12,OFFSET(PLE!$G$14,$M159,BG$13))))</f>
        <v>0</v>
      </c>
    </row>
    <row r="160" spans="1:59" ht="12.75" x14ac:dyDescent="0.2">
      <c r="A160" s="9" t="str">
        <f t="shared" ca="1" si="10"/>
        <v>144</v>
      </c>
      <c r="B160" s="9" t="str">
        <f ca="1">OFFSET(ORÇAMENTO!C$15,ROW(B160)-ROW(B$15),0)</f>
        <v>S</v>
      </c>
      <c r="C160" s="9" t="str">
        <f ca="1">OFFSET(ORÇAMENTO!L$15,ROW(C160)-ROW(C$15),0)</f>
        <v>F</v>
      </c>
      <c r="D160" s="146" t="str">
        <f ca="1">OFFSET(ORÇAMENTO!N$15,ROW(D160)-ROW(D$15),0)</f>
        <v>Serviço</v>
      </c>
      <c r="E160" s="206" t="str">
        <f ca="1">OFFSET(ORÇAMENTO!O$15,ROW(E160)-ROW(E$15),0)</f>
        <v>3.2.1.</v>
      </c>
      <c r="F160" s="207" t="str">
        <f ca="1">OFFSET(ORÇAMENTO!R$15,ROW(F160)-ROW(F$15),0)</f>
        <v>FORRO DE PVC LISO, BRANCO, REGUA DE 10 CM, ESPESSURA DE 8 MM A 10 MM (COM COLOCACAO / SEM ESTRUTURA METALICA)</v>
      </c>
      <c r="G160" s="208" t="str">
        <f ca="1">IF($D160&lt;&gt;"Serviço","",OFFSET(ORÇAMENTO!S$15,ROW(G160)-ROW(G$15),0))</f>
        <v xml:space="preserve">M2    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53.05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15</v>
      </c>
      <c r="N160" s="212" t="str">
        <f ca="1">IF($D160&lt;&gt;"Serviço","",IF(AUTOEVENTO="Manual",IF($A160=0,"&lt;-- defina o número do agrupador",OFFSET(EVENTOS!$D$14,$A160,0)),OFFSET($F$15,$A160,0)))</f>
        <v>(COBERTURAS / FORROS)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144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15</v>
      </c>
      <c r="N161" s="212" t="str">
        <f ca="1">IF($D161&lt;&gt;"Serviço","",IF(AUTOEVENTO="Manual",IF($A161=0,"&lt;-- defina o número do agrupador",OFFSET(EVENTOS!$D$14,$A161,0)),OFFSET($F$15,$A161,0)))</f>
        <v>(COBERTURAS / FORROS)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144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15</v>
      </c>
      <c r="N162" s="212" t="str">
        <f ca="1">IF($D162&lt;&gt;"Serviço","",IF(AUTOEVENTO="Manual",IF($A162=0,"&lt;-- defina o número do agrupador",OFFSET(EVENTOS!$D$14,$A162,0)),OFFSET($F$15,$A162,0)))</f>
        <v>(COBERTURAS / FORROS)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148.</v>
      </c>
      <c r="B163" s="9">
        <f ca="1">OFFSET(ORÇAMENTO!C$15,ROW(B163)-ROW(B$15),0)</f>
        <v>2</v>
      </c>
      <c r="C163" s="9" t="str">
        <f ca="1">OFFSET(ORÇAMENTO!L$15,ROW(C163)-ROW(C$15),0)</f>
        <v>F</v>
      </c>
      <c r="D163" s="146" t="str">
        <f ca="1">OFFSET(ORÇAMENTO!N$15,ROW(D163)-ROW(D$15),0)</f>
        <v>Nível 2</v>
      </c>
      <c r="E163" s="206" t="str">
        <f ca="1">OFFSET(ORÇAMENTO!O$15,ROW(E163)-ROW(E$15),0)</f>
        <v>3.3.</v>
      </c>
      <c r="F163" s="207" t="str">
        <f ca="1">OFFSET(ORÇAMENTO!R$15,ROW(F163)-ROW(F$15),0)</f>
        <v>(REVESTIMENTOS)</v>
      </c>
      <c r="G163" s="208" t="str">
        <f ca="1">IF($D163&lt;&gt;"Serviço","",OFFSET(ORÇAMENTO!S$15,ROW(G163)-ROW(G$15),0))</f>
        <v/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 t="str">
        <f ca="1">IF($D163&lt;&gt;"Serviço","",IF(AUTOEVENTO="manual",$A163,IF(ISERROR(MATCH($A163,$A$15:OFFSET($A163,-1,0),0)),MAX($M$15:OFFSET(M163,-1,0))+1,INDEX($M$15:OFFSET(M163,-1,0),MATCH($A163,$A$15:OFFSET($A163,-1,0),0)))))</f>
        <v/>
      </c>
      <c r="N163" s="212" t="str">
        <f ca="1">IF($D163&lt;&gt;"Serviço","",IF(AUTOEVENTO="Manual",IF($A163=0,"&lt;-- defina o número do agrupador",OFFSET(EVENTOS!$D$14,$A163,0)),OFFSET($F$15,$A163,0)))</f>
        <v/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0</v>
      </c>
      <c r="AN163" s="216">
        <f ca="1">IF($D163&lt;&gt;"Serviço",0,IF(AND(AUTOEVENTO="Manual",$M163=1),0,IF(OFFSET(CRONOPLE!$F$14,$M163,AN$13)="",10^12,OFFSET(CRONOPLE!$F$14,$M163,AN$13))))</f>
        <v>0</v>
      </c>
      <c r="AO163" s="216">
        <f ca="1">IF($D163&lt;&gt;"Serviço",0,IF(AND(AUTOEVENTO="Manual",$M163=1),0,IF(OFFSET(CRONOPLE!$F$14,$M163,AO$13)="",10^12,OFFSET(CRONOPLE!$F$14,$M163,AO$13))))</f>
        <v>0</v>
      </c>
      <c r="AP163" s="216">
        <f ca="1">IF($D163&lt;&gt;"Serviço",0,IF(AND(AUTOEVENTO="Manual",$M163=1),0,IF(OFFSET(CRONOPLE!$F$14,$M163,AP$13)="",10^12,OFFSET(CRONOPLE!$F$14,$M163,AP$13))))</f>
        <v>0</v>
      </c>
      <c r="AQ163" s="216">
        <f ca="1">IF($D163&lt;&gt;"Serviço",0,IF(AND(AUTOEVENTO="Manual",$M163=1),0,IF(OFFSET(CRONOPLE!$F$14,$M163,AQ$13)="",10^12,OFFSET(CRONOPLE!$F$14,$M163,AQ$13))))</f>
        <v>0</v>
      </c>
      <c r="AR163" s="216">
        <f ca="1">IF($D163&lt;&gt;"Serviço",0,IF(AND(AUTOEVENTO="Manual",$M163=1),0,IF(OFFSET(CRONOPLE!$F$14,$M163,AR$13)="",10^12,OFFSET(CRONOPLE!$F$14,$M163,AR$13))))</f>
        <v>0</v>
      </c>
      <c r="AS163" s="216">
        <f ca="1">IF($D163&lt;&gt;"Serviço",0,IF(AND(AUTOEVENTO="Manual",$M163=1),0,IF(OFFSET(CRONOPLE!$F$14,$M163,AS$13)="",10^12,OFFSET(CRONOPLE!$F$14,$M163,AS$13))))</f>
        <v>0</v>
      </c>
      <c r="AT163" s="216">
        <f ca="1">IF($D163&lt;&gt;"Serviço",0,IF(AND(AUTOEVENTO="Manual",$M163=1),0,IF(OFFSET(CRONOPLE!$F$14,$M163,AT$13)="",10^12,OFFSET(CRONOPLE!$F$14,$M163,AT$13))))</f>
        <v>0</v>
      </c>
      <c r="AU163" s="216">
        <f ca="1">IF($D163&lt;&gt;"Serviço",0,IF(AND(AUTOEVENTO="Manual",$M163=1),0,IF(OFFSET(CRONOPLE!$F$14,$M163,AU$13)="",10^12,OFFSET(CRONOPLE!$F$14,$M163,AU$13))))</f>
        <v>0</v>
      </c>
      <c r="AV163" s="216">
        <f ca="1">IF($D163&lt;&gt;"Serviço",0,IF(AND(AUTOEVENTO="Manual",$M163=1),0,IF(OFFSET(CRONOPLE!$F$14,$M163,AV$13)="",10^12,OFFSET(CRONOPLE!$F$14,$M163,AV$13))))</f>
        <v>0</v>
      </c>
      <c r="AX163" s="217">
        <f ca="1">IF($D163&lt;&gt;"Serviço",0,IF(OR(AND(AUTOEVENTO="Manual",$M163=1),$M163&gt;(ROW(PLE.lastrow)-ROW(PLE.firstrow))),0,IF(OFFSET(PLE!$G$14,$M163,AX$13)="",10^12,OFFSET(PLE!$G$14,$M163,AX$13))))</f>
        <v>0</v>
      </c>
      <c r="AY163" s="217">
        <f ca="1">IF($D163&lt;&gt;"Serviço",0,IF(OR(AND(AUTOEVENTO="Manual",$M163=1),$M163&gt;(ROW(PLE.lastrow)-ROW(PLE.firstrow))),0,IF(OFFSET(PLE!$G$14,$M163,AY$13)="",10^12,OFFSET(PLE!$G$14,$M163,AY$13))))</f>
        <v>0</v>
      </c>
      <c r="AZ163" s="217">
        <f ca="1">IF($D163&lt;&gt;"Serviço",0,IF(OR(AND(AUTOEVENTO="Manual",$M163=1),$M163&gt;(ROW(PLE.lastrow)-ROW(PLE.firstrow))),0,IF(OFFSET(PLE!$G$14,$M163,AZ$13)="",10^12,OFFSET(PLE!$G$14,$M163,AZ$13))))</f>
        <v>0</v>
      </c>
      <c r="BA163" s="217">
        <f ca="1">IF($D163&lt;&gt;"Serviço",0,IF(OR(AND(AUTOEVENTO="Manual",$M163=1),$M163&gt;(ROW(PLE.lastrow)-ROW(PLE.firstrow))),0,IF(OFFSET(PLE!$G$14,$M163,BA$13)="",10^12,OFFSET(PLE!$G$14,$M163,BA$13))))</f>
        <v>0</v>
      </c>
      <c r="BB163" s="217">
        <f ca="1">IF($D163&lt;&gt;"Serviço",0,IF(OR(AND(AUTOEVENTO="Manual",$M163=1),$M163&gt;(ROW(PLE.lastrow)-ROW(PLE.firstrow))),0,IF(OFFSET(PLE!$G$14,$M163,BB$13)="",10^12,OFFSET(PLE!$G$14,$M163,BB$13))))</f>
        <v>0</v>
      </c>
      <c r="BC163" s="217">
        <f ca="1">IF($D163&lt;&gt;"Serviço",0,IF(OR(AND(AUTOEVENTO="Manual",$M163=1),$M163&gt;(ROW(PLE.lastrow)-ROW(PLE.firstrow))),0,IF(OFFSET(PLE!$G$14,$M163,BC$13)="",10^12,OFFSET(PLE!$G$14,$M163,BC$13))))</f>
        <v>0</v>
      </c>
      <c r="BD163" s="217">
        <f ca="1">IF($D163&lt;&gt;"Serviço",0,IF(OR(AND(AUTOEVENTO="Manual",$M163=1),$M163&gt;(ROW(PLE.lastrow)-ROW(PLE.firstrow))),0,IF(OFFSET(PLE!$G$14,$M163,BD$13)="",10^12,OFFSET(PLE!$G$14,$M163,BD$13))))</f>
        <v>0</v>
      </c>
      <c r="BE163" s="217">
        <f ca="1">IF($D163&lt;&gt;"Serviço",0,IF(OR(AND(AUTOEVENTO="Manual",$M163=1),$M163&gt;(ROW(PLE.lastrow)-ROW(PLE.firstrow))),0,IF(OFFSET(PLE!$G$14,$M163,BE$13)="",10^12,OFFSET(PLE!$G$14,$M163,BE$13))))</f>
        <v>0</v>
      </c>
      <c r="BF163" s="217">
        <f ca="1">IF($D163&lt;&gt;"Serviço",0,IF(OR(AND(AUTOEVENTO="Manual",$M163=1),$M163&gt;(ROW(PLE.lastrow)-ROW(PLE.firstrow))),0,IF(OFFSET(PLE!$G$14,$M163,BF$13)="",10^12,OFFSET(PLE!$G$14,$M163,BF$13))))</f>
        <v>0</v>
      </c>
      <c r="BG163" s="217">
        <f ca="1">IF($D163&lt;&gt;"Serviço",0,IF(OR(AND(AUTOEVENTO="Manual",$M163=1),$M163&gt;(ROW(PLE.lastrow)-ROW(PLE.firstrow))),0,IF(OFFSET(PLE!$G$14,$M163,BG$13)="",10^12,OFFSET(PLE!$G$14,$M163,BG$13))))</f>
        <v>0</v>
      </c>
    </row>
    <row r="164" spans="1:59" ht="12.75" x14ac:dyDescent="0.2">
      <c r="A164" s="9" t="str">
        <f t="shared" ca="1" si="10"/>
        <v>148</v>
      </c>
      <c r="B164" s="9" t="str">
        <f ca="1">OFFSET(ORÇAMENTO!C$15,ROW(B164)-ROW(B$15),0)</f>
        <v>S</v>
      </c>
      <c r="C164" s="9" t="str">
        <f ca="1">OFFSET(ORÇAMENTO!L$15,ROW(C164)-ROW(C$15),0)</f>
        <v>F</v>
      </c>
      <c r="D164" s="146" t="str">
        <f ca="1">OFFSET(ORÇAMENTO!N$15,ROW(D164)-ROW(D$15),0)</f>
        <v>Serviço</v>
      </c>
      <c r="E164" s="206" t="str">
        <f ca="1">OFFSET(ORÇAMENTO!O$15,ROW(E164)-ROW(E$15),0)</f>
        <v>3.3.1.</v>
      </c>
      <c r="F164" s="207" t="str">
        <f ca="1">OFFSET(ORÇAMENTO!R$15,ROW(F164)-ROW(F$15),0)</f>
        <v>REVESTIMENTO CERÂMICO PARA PAREDES INTERNAS COM PLACAS TIPO ESMALTADA EXTRA DE DIMENSÕES 20X20 CM APLICADAS EM AMBIENTES DE ÁREA MAIOR QUE 5 M² NA ALTURA INTEIRA DAS PAREDES. AF_06/2014</v>
      </c>
      <c r="G164" s="208" t="str">
        <f ca="1">IF($D164&lt;&gt;"Serviço","",OFFSET(ORÇAMENTO!S$15,ROW(G164)-ROW(G$15),0))</f>
        <v>M2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122.08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16</v>
      </c>
      <c r="N164" s="212" t="str">
        <f ca="1">IF($D164&lt;&gt;"Serviço","",IF(AUTOEVENTO="Manual",IF($A164=0,"&lt;-- defina o número do agrupador",OFFSET(EVENTOS!$D$14,$A164,0)),OFFSET($F$15,$A164,0)))</f>
        <v>(REVESTIMENTOS)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148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16</v>
      </c>
      <c r="N165" s="212" t="str">
        <f ca="1">IF($D165&lt;&gt;"Serviço","",IF(AUTOEVENTO="Manual",IF($A165=0,"&lt;-- defina o número do agrupador",OFFSET(EVENTOS!$D$14,$A165,0)),OFFSET($F$15,$A165,0)))</f>
        <v>(REVESTIMENTOS)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148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16</v>
      </c>
      <c r="N166" s="212" t="str">
        <f ca="1">IF($D166&lt;&gt;"Serviço","",IF(AUTOEVENTO="Manual",IF($A166=0,"&lt;-- defina o número do agrupador",OFFSET(EVENTOS!$D$14,$A166,0)),OFFSET($F$15,$A166,0)))</f>
        <v>(REVESTIMENTOS)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148</v>
      </c>
      <c r="B167" s="9" t="str">
        <f ca="1">OFFSET(ORÇAMENTO!C$15,ROW(B167)-ROW(B$15),0)</f>
        <v>S</v>
      </c>
      <c r="C167" s="9" t="str">
        <f ca="1">OFFSET(ORÇAMENTO!L$15,ROW(C167)-ROW(C$15),0)</f>
        <v>F</v>
      </c>
      <c r="D167" s="146" t="str">
        <f ca="1">OFFSET(ORÇAMENTO!N$15,ROW(D167)-ROW(D$15),0)</f>
        <v>Serviço</v>
      </c>
      <c r="E167" s="206" t="str">
        <f ca="1">OFFSET(ORÇAMENTO!O$15,ROW(E167)-ROW(E$15),0)</f>
        <v>3.3.2.</v>
      </c>
      <c r="F167" s="207" t="str">
        <f ca="1">OFFSET(ORÇAMENTO!R$15,ROW(F167)-ROW(F$15),0)</f>
        <v>REJUNTE COLORIDO, CIMENTICIO</v>
      </c>
      <c r="G167" s="208" t="str">
        <f ca="1">IF($D167&lt;&gt;"Serviço","",OFFSET(ORÇAMENTO!S$15,ROW(G167)-ROW(G$15),0))</f>
        <v xml:space="preserve">KG    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35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16</v>
      </c>
      <c r="N167" s="212" t="str">
        <f ca="1">IF($D167&lt;&gt;"Serviço","",IF(AUTOEVENTO="Manual",IF($A167=0,"&lt;-- defina o número do agrupador",OFFSET(EVENTOS!$D$14,$A167,0)),OFFSET($F$15,$A167,0)))</f>
        <v>(REVESTIMENTOS)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148</v>
      </c>
      <c r="B168" s="9" t="str">
        <f ca="1">OFFSET(ORÇAMENTO!C$15,ROW(B168)-ROW(B$15),0)</f>
        <v>S</v>
      </c>
      <c r="C168" s="9" t="str">
        <f ca="1">OFFSET(ORÇAMENTO!L$15,ROW(C168)-ROW(C$15),0)</f>
        <v>F</v>
      </c>
      <c r="D168" s="146" t="str">
        <f ca="1">OFFSET(ORÇAMENTO!N$15,ROW(D168)-ROW(D$15),0)</f>
        <v>Serviço</v>
      </c>
      <c r="E168" s="206" t="str">
        <f ca="1">OFFSET(ORÇAMENTO!O$15,ROW(E168)-ROW(E$15),0)</f>
        <v>3.3.3.</v>
      </c>
      <c r="F168" s="207" t="str">
        <f ca="1">OFFSET(ORÇAMENTO!R$15,ROW(F168)-ROW(F$15),0)</f>
        <v>SOLEIRA/ PEITORIL EM MARMORE, POLIDO, BRANCO COMUM, L= *15* CM, E=  *2* CM,  CORTE RETO</v>
      </c>
      <c r="G168" s="208" t="str">
        <f ca="1">IF($D168&lt;&gt;"Serviço","",OFFSET(ORÇAMENTO!S$15,ROW(G168)-ROW(G$15),0))</f>
        <v xml:space="preserve">M     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2.4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16</v>
      </c>
      <c r="N168" s="212" t="str">
        <f ca="1">IF($D168&lt;&gt;"Serviço","",IF(AUTOEVENTO="Manual",IF($A168=0,"&lt;-- defina o número do agrupador",OFFSET(EVENTOS!$D$14,$A168,0)),OFFSET($F$15,$A168,0)))</f>
        <v>(REVESTIMENTOS)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148</v>
      </c>
      <c r="B169" s="9" t="str">
        <f ca="1">OFFSET(ORÇAMENTO!C$15,ROW(B169)-ROW(B$15),0)</f>
        <v>S</v>
      </c>
      <c r="C169" s="9" t="str">
        <f ca="1">OFFSET(ORÇAMENTO!L$15,ROW(C169)-ROW(C$15),0)</f>
        <v>F</v>
      </c>
      <c r="D169" s="146" t="str">
        <f ca="1">OFFSET(ORÇAMENTO!N$15,ROW(D169)-ROW(D$15),0)</f>
        <v>Serviço</v>
      </c>
      <c r="E169" s="206" t="str">
        <f ca="1">OFFSET(ORÇAMENTO!O$15,ROW(E169)-ROW(E$15),0)</f>
        <v>3.3.4.</v>
      </c>
      <c r="F169" s="207" t="str">
        <f ca="1">OFFSET(ORÇAMENTO!R$15,ROW(F169)-ROW(F$15),0)</f>
        <v>BANCADA/ BANCA EM MARMORE, POLIDO, BRANCO COMUM, E=  *3* CM</v>
      </c>
      <c r="G169" s="208" t="str">
        <f ca="1">IF($D169&lt;&gt;"Serviço","",OFFSET(ORÇAMENTO!S$15,ROW(G169)-ROW(G$15),0))</f>
        <v xml:space="preserve">M2    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1.2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16</v>
      </c>
      <c r="N169" s="212" t="str">
        <f ca="1">IF($D169&lt;&gt;"Serviço","",IF(AUTOEVENTO="Manual",IF($A169=0,"&lt;-- defina o número do agrupador",OFFSET(EVENTOS!$D$14,$A169,0)),OFFSET($F$15,$A169,0)))</f>
        <v>(REVESTIMENTOS)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148</v>
      </c>
      <c r="B170" s="9" t="str">
        <f ca="1">OFFSET(ORÇAMENTO!C$15,ROW(B170)-ROW(B$15),0)</f>
        <v>S</v>
      </c>
      <c r="C170" s="9" t="str">
        <f ca="1">OFFSET(ORÇAMENTO!L$15,ROW(C170)-ROW(C$15),0)</f>
        <v>F</v>
      </c>
      <c r="D170" s="146" t="str">
        <f ca="1">OFFSET(ORÇAMENTO!N$15,ROW(D170)-ROW(D$15),0)</f>
        <v>Serviço</v>
      </c>
      <c r="E170" s="206" t="str">
        <f ca="1">OFFSET(ORÇAMENTO!O$15,ROW(E170)-ROW(E$15),0)</f>
        <v>3.3.5.</v>
      </c>
      <c r="F170" s="207" t="str">
        <f ca="1">OFFSET(ORÇAMENTO!R$15,ROW(F170)-ROW(F$15),0)</f>
        <v>(COMPOSIÇÃO REPRESENTATIVA) DO SERVIÇO DE REVESTIMENTO CERÂMICO PARA PISO COM PLACAS TIPO GRÉS DE DIMENSÕES 35X35 CM, PARA EDIFICAÇÃO HABITACIONAL UNIFAMILIAR (CASA) E EDIFICAÇÃO PÚBLICA PADRÃO. AF_11/2014</v>
      </c>
      <c r="G170" s="208" t="str">
        <f ca="1">IF($D170&lt;&gt;"Serviço","",OFFSET(ORÇAMENTO!S$15,ROW(G170)-ROW(G$15),0))</f>
        <v>M2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12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16</v>
      </c>
      <c r="N170" s="212" t="str">
        <f ca="1">IF($D170&lt;&gt;"Serviço","",IF(AUTOEVENTO="Manual",IF($A170=0,"&lt;-- defina o número do agrupador",OFFSET(EVENTOS!$D$14,$A170,0)),OFFSET($F$15,$A170,0)))</f>
        <v>(REVESTIMENTOS)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148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16</v>
      </c>
      <c r="N171" s="212" t="str">
        <f ca="1">IF($D171&lt;&gt;"Serviço","",IF(AUTOEVENTO="Manual",IF($A171=0,"&lt;-- defina o número do agrupador",OFFSET(EVENTOS!$D$14,$A171,0)),OFFSET($F$15,$A171,0)))</f>
        <v>(REVESTIMENTOS)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148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16</v>
      </c>
      <c r="N172" s="212" t="str">
        <f ca="1">IF($D172&lt;&gt;"Serviço","",IF(AUTOEVENTO="Manual",IF($A172=0,"&lt;-- defina o número do agrupador",OFFSET(EVENTOS!$D$14,$A172,0)),OFFSET($F$15,$A172,0)))</f>
        <v>(REVESTIMENTOS)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148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16</v>
      </c>
      <c r="N173" s="212" t="str">
        <f ca="1">IF($D173&lt;&gt;"Serviço","",IF(AUTOEVENTO="Manual",IF($A173=0,"&lt;-- defina o número do agrupador",OFFSET(EVENTOS!$D$14,$A173,0)),OFFSET($F$15,$A173,0)))</f>
        <v>(REVESTIMENTOS)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148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16</v>
      </c>
      <c r="N174" s="212" t="str">
        <f ca="1">IF($D174&lt;&gt;"Serviço","",IF(AUTOEVENTO="Manual",IF($A174=0,"&lt;-- defina o número do agrupador",OFFSET(EVENTOS!$D$14,$A174,0)),OFFSET($F$15,$A174,0)))</f>
        <v>(REVESTIMENTOS)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160.</v>
      </c>
      <c r="B175" s="9">
        <f ca="1">OFFSET(ORÇAMENTO!C$15,ROW(B175)-ROW(B$15),0)</f>
        <v>2</v>
      </c>
      <c r="C175" s="9" t="str">
        <f ca="1">OFFSET(ORÇAMENTO!L$15,ROW(C175)-ROW(C$15),0)</f>
        <v>F</v>
      </c>
      <c r="D175" s="146" t="str">
        <f ca="1">OFFSET(ORÇAMENTO!N$15,ROW(D175)-ROW(D$15),0)</f>
        <v>Nível 2</v>
      </c>
      <c r="E175" s="206" t="str">
        <f ca="1">OFFSET(ORÇAMENTO!O$15,ROW(E175)-ROW(E$15),0)</f>
        <v>3.4.</v>
      </c>
      <c r="F175" s="207" t="str">
        <f ca="1">OFFSET(ORÇAMENTO!R$15,ROW(F175)-ROW(F$15),0)</f>
        <v>(ESQUADRIAS METALICAS , PORTAS , TELAS MILIMETRICAS)</v>
      </c>
      <c r="G175" s="208" t="str">
        <f ca="1">IF($D175&lt;&gt;"Serviço","",OFFSET(ORÇAMENTO!S$15,ROW(G175)-ROW(G$15),0))</f>
        <v/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 t="str">
        <f ca="1">IF($D175&lt;&gt;"Serviço","",IF(AUTOEVENTO="manual",$A175,IF(ISERROR(MATCH($A175,$A$15:OFFSET($A175,-1,0),0)),MAX($M$15:OFFSET(M175,-1,0))+1,INDEX($M$15:OFFSET(M175,-1,0),MATCH($A175,$A$15:OFFSET($A175,-1,0),0)))))</f>
        <v/>
      </c>
      <c r="N175" s="212" t="str">
        <f ca="1">IF($D175&lt;&gt;"Serviço","",IF(AUTOEVENTO="Manual",IF($A175=0,"&lt;-- defina o número do agrupador",OFFSET(EVENTOS!$D$14,$A175,0)),OFFSET($F$15,$A175,0)))</f>
        <v/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0</v>
      </c>
      <c r="AN175" s="216">
        <f ca="1">IF($D175&lt;&gt;"Serviço",0,IF(AND(AUTOEVENTO="Manual",$M175=1),0,IF(OFFSET(CRONOPLE!$F$14,$M175,AN$13)="",10^12,OFFSET(CRONOPLE!$F$14,$M175,AN$13))))</f>
        <v>0</v>
      </c>
      <c r="AO175" s="216">
        <f ca="1">IF($D175&lt;&gt;"Serviço",0,IF(AND(AUTOEVENTO="Manual",$M175=1),0,IF(OFFSET(CRONOPLE!$F$14,$M175,AO$13)="",10^12,OFFSET(CRONOPLE!$F$14,$M175,AO$13))))</f>
        <v>0</v>
      </c>
      <c r="AP175" s="216">
        <f ca="1">IF($D175&lt;&gt;"Serviço",0,IF(AND(AUTOEVENTO="Manual",$M175=1),0,IF(OFFSET(CRONOPLE!$F$14,$M175,AP$13)="",10^12,OFFSET(CRONOPLE!$F$14,$M175,AP$13))))</f>
        <v>0</v>
      </c>
      <c r="AQ175" s="216">
        <f ca="1">IF($D175&lt;&gt;"Serviço",0,IF(AND(AUTOEVENTO="Manual",$M175=1),0,IF(OFFSET(CRONOPLE!$F$14,$M175,AQ$13)="",10^12,OFFSET(CRONOPLE!$F$14,$M175,AQ$13))))</f>
        <v>0</v>
      </c>
      <c r="AR175" s="216">
        <f ca="1">IF($D175&lt;&gt;"Serviço",0,IF(AND(AUTOEVENTO="Manual",$M175=1),0,IF(OFFSET(CRONOPLE!$F$14,$M175,AR$13)="",10^12,OFFSET(CRONOPLE!$F$14,$M175,AR$13))))</f>
        <v>0</v>
      </c>
      <c r="AS175" s="216">
        <f ca="1">IF($D175&lt;&gt;"Serviço",0,IF(AND(AUTOEVENTO="Manual",$M175=1),0,IF(OFFSET(CRONOPLE!$F$14,$M175,AS$13)="",10^12,OFFSET(CRONOPLE!$F$14,$M175,AS$13))))</f>
        <v>0</v>
      </c>
      <c r="AT175" s="216">
        <f ca="1">IF($D175&lt;&gt;"Serviço",0,IF(AND(AUTOEVENTO="Manual",$M175=1),0,IF(OFFSET(CRONOPLE!$F$14,$M175,AT$13)="",10^12,OFFSET(CRONOPLE!$F$14,$M175,AT$13))))</f>
        <v>0</v>
      </c>
      <c r="AU175" s="216">
        <f ca="1">IF($D175&lt;&gt;"Serviço",0,IF(AND(AUTOEVENTO="Manual",$M175=1),0,IF(OFFSET(CRONOPLE!$F$14,$M175,AU$13)="",10^12,OFFSET(CRONOPLE!$F$14,$M175,AU$13))))</f>
        <v>0</v>
      </c>
      <c r="AV175" s="216">
        <f ca="1">IF($D175&lt;&gt;"Serviço",0,IF(AND(AUTOEVENTO="Manual",$M175=1),0,IF(OFFSET(CRONOPLE!$F$14,$M175,AV$13)="",10^12,OFFSET(CRONOPLE!$F$14,$M175,AV$13))))</f>
        <v>0</v>
      </c>
      <c r="AX175" s="217">
        <f ca="1">IF($D175&lt;&gt;"Serviço",0,IF(OR(AND(AUTOEVENTO="Manual",$M175=1),$M175&gt;(ROW(PLE.lastrow)-ROW(PLE.firstrow))),0,IF(OFFSET(PLE!$G$14,$M175,AX$13)="",10^12,OFFSET(PLE!$G$14,$M175,AX$13))))</f>
        <v>0</v>
      </c>
      <c r="AY175" s="217">
        <f ca="1">IF($D175&lt;&gt;"Serviço",0,IF(OR(AND(AUTOEVENTO="Manual",$M175=1),$M175&gt;(ROW(PLE.lastrow)-ROW(PLE.firstrow))),0,IF(OFFSET(PLE!$G$14,$M175,AY$13)="",10^12,OFFSET(PLE!$G$14,$M175,AY$13))))</f>
        <v>0</v>
      </c>
      <c r="AZ175" s="217">
        <f ca="1">IF($D175&lt;&gt;"Serviço",0,IF(OR(AND(AUTOEVENTO="Manual",$M175=1),$M175&gt;(ROW(PLE.lastrow)-ROW(PLE.firstrow))),0,IF(OFFSET(PLE!$G$14,$M175,AZ$13)="",10^12,OFFSET(PLE!$G$14,$M175,AZ$13))))</f>
        <v>0</v>
      </c>
      <c r="BA175" s="217">
        <f ca="1">IF($D175&lt;&gt;"Serviço",0,IF(OR(AND(AUTOEVENTO="Manual",$M175=1),$M175&gt;(ROW(PLE.lastrow)-ROW(PLE.firstrow))),0,IF(OFFSET(PLE!$G$14,$M175,BA$13)="",10^12,OFFSET(PLE!$G$14,$M175,BA$13))))</f>
        <v>0</v>
      </c>
      <c r="BB175" s="217">
        <f ca="1">IF($D175&lt;&gt;"Serviço",0,IF(OR(AND(AUTOEVENTO="Manual",$M175=1),$M175&gt;(ROW(PLE.lastrow)-ROW(PLE.firstrow))),0,IF(OFFSET(PLE!$G$14,$M175,BB$13)="",10^12,OFFSET(PLE!$G$14,$M175,BB$13))))</f>
        <v>0</v>
      </c>
      <c r="BC175" s="217">
        <f ca="1">IF($D175&lt;&gt;"Serviço",0,IF(OR(AND(AUTOEVENTO="Manual",$M175=1),$M175&gt;(ROW(PLE.lastrow)-ROW(PLE.firstrow))),0,IF(OFFSET(PLE!$G$14,$M175,BC$13)="",10^12,OFFSET(PLE!$G$14,$M175,BC$13))))</f>
        <v>0</v>
      </c>
      <c r="BD175" s="217">
        <f ca="1">IF($D175&lt;&gt;"Serviço",0,IF(OR(AND(AUTOEVENTO="Manual",$M175=1),$M175&gt;(ROW(PLE.lastrow)-ROW(PLE.firstrow))),0,IF(OFFSET(PLE!$G$14,$M175,BD$13)="",10^12,OFFSET(PLE!$G$14,$M175,BD$13))))</f>
        <v>0</v>
      </c>
      <c r="BE175" s="217">
        <f ca="1">IF($D175&lt;&gt;"Serviço",0,IF(OR(AND(AUTOEVENTO="Manual",$M175=1),$M175&gt;(ROW(PLE.lastrow)-ROW(PLE.firstrow))),0,IF(OFFSET(PLE!$G$14,$M175,BE$13)="",10^12,OFFSET(PLE!$G$14,$M175,BE$13))))</f>
        <v>0</v>
      </c>
      <c r="BF175" s="217">
        <f ca="1">IF($D175&lt;&gt;"Serviço",0,IF(OR(AND(AUTOEVENTO="Manual",$M175=1),$M175&gt;(ROW(PLE.lastrow)-ROW(PLE.firstrow))),0,IF(OFFSET(PLE!$G$14,$M175,BF$13)="",10^12,OFFSET(PLE!$G$14,$M175,BF$13))))</f>
        <v>0</v>
      </c>
      <c r="BG175" s="217">
        <f ca="1">IF($D175&lt;&gt;"Serviço",0,IF(OR(AND(AUTOEVENTO="Manual",$M175=1),$M175&gt;(ROW(PLE.lastrow)-ROW(PLE.firstrow))),0,IF(OFFSET(PLE!$G$14,$M175,BG$13)="",10^12,OFFSET(PLE!$G$14,$M175,BG$13))))</f>
        <v>0</v>
      </c>
    </row>
    <row r="176" spans="1:59" ht="25.5" x14ac:dyDescent="0.2">
      <c r="A176" s="9" t="str">
        <f t="shared" ca="1" si="10"/>
        <v>160</v>
      </c>
      <c r="B176" s="9" t="str">
        <f ca="1">OFFSET(ORÇAMENTO!C$15,ROW(B176)-ROW(B$15),0)</f>
        <v>S</v>
      </c>
      <c r="C176" s="9" t="str">
        <f ca="1">OFFSET(ORÇAMENTO!L$15,ROW(C176)-ROW(C$15),0)</f>
        <v>F</v>
      </c>
      <c r="D176" s="146" t="str">
        <f ca="1">OFFSET(ORÇAMENTO!N$15,ROW(D176)-ROW(D$15),0)</f>
        <v>Serviço</v>
      </c>
      <c r="E176" s="206" t="str">
        <f ca="1">OFFSET(ORÇAMENTO!O$15,ROW(E176)-ROW(E$15),0)</f>
        <v>3.4.1.</v>
      </c>
      <c r="F176" s="207" t="str">
        <f ca="1">OFFSET(ORÇAMENTO!R$15,ROW(F176)-ROW(F$15),0)</f>
        <v>JANELA DE CORRER EM ALUMINIO, VENEZIANA, 120  X 150 CM (A X L), 3 FLS (2 VENEZIANAS E 1 VIDRO), SEM BANDEIRA, ACABAMENTO ACET OU BRILHANTE, BATENTE/REQUADRO DE 6 A 14 CM, COM VIDRO, SEM GUARNICAO/ALIZAR</v>
      </c>
      <c r="G176" s="208" t="str">
        <f ca="1">IF($D176&lt;&gt;"Serviço","",OFFSET(ORÇAMENTO!S$15,ROW(G176)-ROW(G$15),0))</f>
        <v xml:space="preserve">UN    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2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17</v>
      </c>
      <c r="N176" s="212" t="str">
        <f ca="1">IF($D176&lt;&gt;"Serviço","",IF(AUTOEVENTO="Manual",IF($A176=0,"&lt;-- defina o número do agrupador",OFFSET(EVENTOS!$D$14,$A176,0)),OFFSET($F$15,$A176,0)))</f>
        <v>(ESQUADRIAS METALICAS , PORTAS , TELAS MILIMETRICAS)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25.5" x14ac:dyDescent="0.2">
      <c r="A177" s="9" t="str">
        <f t="shared" ca="1" si="10"/>
        <v>160</v>
      </c>
      <c r="B177" s="9" t="str">
        <f ca="1">OFFSET(ORÇAMENTO!C$15,ROW(B177)-ROW(B$15),0)</f>
        <v>S</v>
      </c>
      <c r="C177" s="9" t="str">
        <f ca="1">OFFSET(ORÇAMENTO!L$15,ROW(C177)-ROW(C$15),0)</f>
        <v>F</v>
      </c>
      <c r="D177" s="146" t="str">
        <f ca="1">OFFSET(ORÇAMENTO!N$15,ROW(D177)-ROW(D$15),0)</f>
        <v>Serviço</v>
      </c>
      <c r="E177" s="206" t="str">
        <f ca="1">OFFSET(ORÇAMENTO!O$15,ROW(E177)-ROW(E$15),0)</f>
        <v>3.4.2.</v>
      </c>
      <c r="F177" s="207" t="str">
        <f ca="1">OFFSET(ORÇAMENTO!R$15,ROW(F177)-ROW(F$15),0)</f>
        <v>PORTA DE FERRO, DE ABRIR, TIPO GRADE COM CHAPA, COM GUARNIÇÕES. AF_12/2019</v>
      </c>
      <c r="G177" s="208" t="str">
        <f ca="1">IF($D177&lt;&gt;"Serviço","",OFFSET(ORÇAMENTO!S$15,ROW(G177)-ROW(G$15),0))</f>
        <v>M2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1.68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17</v>
      </c>
      <c r="N177" s="212" t="str">
        <f ca="1">IF($D177&lt;&gt;"Serviço","",IF(AUTOEVENTO="Manual",IF($A177=0,"&lt;-- defina o número do agrupador",OFFSET(EVENTOS!$D$14,$A177,0)),OFFSET($F$15,$A177,0)))</f>
        <v>(ESQUADRIAS METALICAS , PORTAS , TELAS MILIMETRICAS)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25.5" x14ac:dyDescent="0.2">
      <c r="A178" s="9" t="str">
        <f t="shared" ca="1" si="10"/>
        <v>160</v>
      </c>
      <c r="B178" s="9" t="str">
        <f ca="1">OFFSET(ORÇAMENTO!C$15,ROW(B178)-ROW(B$15),0)</f>
        <v>S</v>
      </c>
      <c r="C178" s="9" t="str">
        <f ca="1">OFFSET(ORÇAMENTO!L$15,ROW(C178)-ROW(C$15),0)</f>
        <v>F</v>
      </c>
      <c r="D178" s="146" t="str">
        <f ca="1">OFFSET(ORÇAMENTO!N$15,ROW(D178)-ROW(D$15),0)</f>
        <v>Serviço</v>
      </c>
      <c r="E178" s="206" t="str">
        <f ca="1">OFFSET(ORÇAMENTO!O$15,ROW(E178)-ROW(E$15),0)</f>
        <v>3.4.3.</v>
      </c>
      <c r="F178" s="207" t="str">
        <f ca="1">OFFSET(ORÇAMENTO!R$15,ROW(F178)-ROW(F$15),0)</f>
        <v>JANELA DE CORRER EM ALUMINIO, 100 X 120 CM (A X L), 2 FLS,  SEM BANDEIRA,  ACABAMENTO ACET OU BRILHANTE, BATENTE/REQUADRO DE 6 A 14 CM, COM VIDRO, SEM GUARNICAO</v>
      </c>
      <c r="G178" s="208" t="str">
        <f ca="1">IF($D178&lt;&gt;"Serviço","",OFFSET(ORÇAMENTO!S$15,ROW(G178)-ROW(G$15),0))</f>
        <v xml:space="preserve">UN    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1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17</v>
      </c>
      <c r="N178" s="212" t="str">
        <f ca="1">IF($D178&lt;&gt;"Serviço","",IF(AUTOEVENTO="Manual",IF($A178=0,"&lt;-- defina o número do agrupador",OFFSET(EVENTOS!$D$14,$A178,0)),OFFSET($F$15,$A178,0)))</f>
        <v>(ESQUADRIAS METALICAS , PORTAS , TELAS MILIMETRICAS)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25.5" x14ac:dyDescent="0.2">
      <c r="A179" s="9" t="str">
        <f t="shared" ca="1" si="10"/>
        <v>160</v>
      </c>
      <c r="B179" s="9" t="str">
        <f ca="1">OFFSET(ORÇAMENTO!C$15,ROW(B179)-ROW(B$15),0)</f>
        <v>S</v>
      </c>
      <c r="C179" s="9" t="str">
        <f ca="1">OFFSET(ORÇAMENTO!L$15,ROW(C179)-ROW(C$15),0)</f>
        <v>F</v>
      </c>
      <c r="D179" s="146" t="str">
        <f ca="1">OFFSET(ORÇAMENTO!N$15,ROW(D179)-ROW(D$15),0)</f>
        <v>Serviço</v>
      </c>
      <c r="E179" s="206" t="str">
        <f ca="1">OFFSET(ORÇAMENTO!O$15,ROW(E179)-ROW(E$15),0)</f>
        <v>3.4.4.</v>
      </c>
      <c r="F179" s="207" t="str">
        <f ca="1">OFFSET(ORÇAMENTO!R$15,ROW(F179)-ROW(F$15),0)</f>
        <v>PORTA DE MADEIRA PARA PINTURA, SEMI-OCA (LEVE OU MÉDIA), 80X210CM, ESPESSURA DE 3,5CM, INCLUSO DOBRADIÇAS - FORNECIMENTO E INSTALAÇÃO. AF_12/2019</v>
      </c>
      <c r="G179" s="208" t="str">
        <f ca="1">IF($D179&lt;&gt;"Serviço","",OFFSET(ORÇAMENTO!S$15,ROW(G179)-ROW(G$15),0))</f>
        <v>UN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1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17</v>
      </c>
      <c r="N179" s="212" t="str">
        <f ca="1">IF($D179&lt;&gt;"Serviço","",IF(AUTOEVENTO="Manual",IF($A179=0,"&lt;-- defina o número do agrupador",OFFSET(EVENTOS!$D$14,$A179,0)),OFFSET($F$15,$A179,0)))</f>
        <v>(ESQUADRIAS METALICAS , PORTAS , TELAS MILIMETRICAS)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25.5" x14ac:dyDescent="0.2">
      <c r="A180" s="9" t="str">
        <f t="shared" ca="1" si="10"/>
        <v>160</v>
      </c>
      <c r="B180" s="9" t="str">
        <f ca="1">OFFSET(ORÇAMENTO!C$15,ROW(B180)-ROW(B$15),0)</f>
        <v>S</v>
      </c>
      <c r="C180" s="9" t="str">
        <f ca="1">OFFSET(ORÇAMENTO!L$15,ROW(C180)-ROW(C$15),0)</f>
        <v>F</v>
      </c>
      <c r="D180" s="146" t="str">
        <f ca="1">OFFSET(ORÇAMENTO!N$15,ROW(D180)-ROW(D$15),0)</f>
        <v>Serviço</v>
      </c>
      <c r="E180" s="206" t="str">
        <f ca="1">OFFSET(ORÇAMENTO!O$15,ROW(E180)-ROW(E$15),0)</f>
        <v>3.4.5.</v>
      </c>
      <c r="F180" s="207" t="str">
        <f ca="1">OFFSET(ORÇAMENTO!R$15,ROW(F180)-ROW(F$15),0)</f>
        <v>GRADIL EM FERRO FIXADO EM VÃOS DE JANELAS, FORMADO POR BARRAS CHATAS DE 25X4,8 MM. AF_04/2019</v>
      </c>
      <c r="G180" s="208" t="str">
        <f ca="1">IF($D180&lt;&gt;"Serviço","",OFFSET(ORÇAMENTO!S$15,ROW(G180)-ROW(G$15),0))</f>
        <v>M2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1.2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17</v>
      </c>
      <c r="N180" s="212" t="str">
        <f ca="1">IF($D180&lt;&gt;"Serviço","",IF(AUTOEVENTO="Manual",IF($A180=0,"&lt;-- defina o número do agrupador",OFFSET(EVENTOS!$D$14,$A180,0)),OFFSET($F$15,$A180,0)))</f>
        <v>(ESQUADRIAS METALICAS , PORTAS , TELAS MILIMETRICAS)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25.5" x14ac:dyDescent="0.2">
      <c r="A181" s="9" t="str">
        <f t="shared" ca="1" si="10"/>
        <v>160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17</v>
      </c>
      <c r="N181" s="212" t="str">
        <f ca="1">IF($D181&lt;&gt;"Serviço","",IF(AUTOEVENTO="Manual",IF($A181=0,"&lt;-- defina o número do agrupador",OFFSET(EVENTOS!$D$14,$A181,0)),OFFSET($F$15,$A181,0)))</f>
        <v>(ESQUADRIAS METALICAS , PORTAS , TELAS MILIMETRICAS)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25.5" x14ac:dyDescent="0.2">
      <c r="A182" s="9" t="str">
        <f t="shared" ca="1" si="10"/>
        <v>160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17</v>
      </c>
      <c r="N182" s="212" t="str">
        <f ca="1">IF($D182&lt;&gt;"Serviço","",IF(AUTOEVENTO="Manual",IF($A182=0,"&lt;-- defina o número do agrupador",OFFSET(EVENTOS!$D$14,$A182,0)),OFFSET($F$15,$A182,0)))</f>
        <v>(ESQUADRIAS METALICAS , PORTAS , TELAS MILIMETRICAS)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25.5" x14ac:dyDescent="0.2">
      <c r="A183" s="9" t="str">
        <f t="shared" ca="1" si="10"/>
        <v>160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17</v>
      </c>
      <c r="N183" s="212" t="str">
        <f ca="1">IF($D183&lt;&gt;"Serviço","",IF(AUTOEVENTO="Manual",IF($A183=0,"&lt;-- defina o número do agrupador",OFFSET(EVENTOS!$D$14,$A183,0)),OFFSET($F$15,$A183,0)))</f>
        <v>(ESQUADRIAS METALICAS , PORTAS , TELAS MILIMETRICAS)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169.</v>
      </c>
      <c r="B184" s="9">
        <f ca="1">OFFSET(ORÇAMENTO!C$15,ROW(B184)-ROW(B$15),0)</f>
        <v>2</v>
      </c>
      <c r="C184" s="9" t="str">
        <f ca="1">OFFSET(ORÇAMENTO!L$15,ROW(C184)-ROW(C$15),0)</f>
        <v>F</v>
      </c>
      <c r="D184" s="146" t="str">
        <f ca="1">OFFSET(ORÇAMENTO!N$15,ROW(D184)-ROW(D$15),0)</f>
        <v>Nível 2</v>
      </c>
      <c r="E184" s="206" t="str">
        <f ca="1">OFFSET(ORÇAMENTO!O$15,ROW(E184)-ROW(E$15),0)</f>
        <v>3.5.</v>
      </c>
      <c r="F184" s="207" t="str">
        <f ca="1">OFFSET(ORÇAMENTO!R$15,ROW(F184)-ROW(F$15),0)</f>
        <v>(INSTALAÇOES ELETRICAS)</v>
      </c>
      <c r="G184" s="208" t="str">
        <f ca="1">IF($D184&lt;&gt;"Serviço","",OFFSET(ORÇAMENTO!S$15,ROW(G184)-ROW(G$15),0))</f>
        <v/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 t="str">
        <f ca="1">IF($D184&lt;&gt;"Serviço","",IF(AUTOEVENTO="manual",$A184,IF(ISERROR(MATCH($A184,$A$15:OFFSET($A184,-1,0),0)),MAX($M$15:OFFSET(M184,-1,0))+1,INDEX($M$15:OFFSET(M184,-1,0),MATCH($A184,$A$15:OFFSET($A184,-1,0),0)))))</f>
        <v/>
      </c>
      <c r="N184" s="212" t="str">
        <f ca="1">IF($D184&lt;&gt;"Serviço","",IF(AUTOEVENTO="Manual",IF($A184=0,"&lt;-- defina o número do agrupador",OFFSET(EVENTOS!$D$14,$A184,0)),OFFSET($F$15,$A184,0)))</f>
        <v/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0</v>
      </c>
      <c r="AN184" s="216">
        <f ca="1">IF($D184&lt;&gt;"Serviço",0,IF(AND(AUTOEVENTO="Manual",$M184=1),0,IF(OFFSET(CRONOPLE!$F$14,$M184,AN$13)="",10^12,OFFSET(CRONOPLE!$F$14,$M184,AN$13))))</f>
        <v>0</v>
      </c>
      <c r="AO184" s="216">
        <f ca="1">IF($D184&lt;&gt;"Serviço",0,IF(AND(AUTOEVENTO="Manual",$M184=1),0,IF(OFFSET(CRONOPLE!$F$14,$M184,AO$13)="",10^12,OFFSET(CRONOPLE!$F$14,$M184,AO$13))))</f>
        <v>0</v>
      </c>
      <c r="AP184" s="216">
        <f ca="1">IF($D184&lt;&gt;"Serviço",0,IF(AND(AUTOEVENTO="Manual",$M184=1),0,IF(OFFSET(CRONOPLE!$F$14,$M184,AP$13)="",10^12,OFFSET(CRONOPLE!$F$14,$M184,AP$13))))</f>
        <v>0</v>
      </c>
      <c r="AQ184" s="216">
        <f ca="1">IF($D184&lt;&gt;"Serviço",0,IF(AND(AUTOEVENTO="Manual",$M184=1),0,IF(OFFSET(CRONOPLE!$F$14,$M184,AQ$13)="",10^12,OFFSET(CRONOPLE!$F$14,$M184,AQ$13))))</f>
        <v>0</v>
      </c>
      <c r="AR184" s="216">
        <f ca="1">IF($D184&lt;&gt;"Serviço",0,IF(AND(AUTOEVENTO="Manual",$M184=1),0,IF(OFFSET(CRONOPLE!$F$14,$M184,AR$13)="",10^12,OFFSET(CRONOPLE!$F$14,$M184,AR$13))))</f>
        <v>0</v>
      </c>
      <c r="AS184" s="216">
        <f ca="1">IF($D184&lt;&gt;"Serviço",0,IF(AND(AUTOEVENTO="Manual",$M184=1),0,IF(OFFSET(CRONOPLE!$F$14,$M184,AS$13)="",10^12,OFFSET(CRONOPLE!$F$14,$M184,AS$13))))</f>
        <v>0</v>
      </c>
      <c r="AT184" s="216">
        <f ca="1">IF($D184&lt;&gt;"Serviço",0,IF(AND(AUTOEVENTO="Manual",$M184=1),0,IF(OFFSET(CRONOPLE!$F$14,$M184,AT$13)="",10^12,OFFSET(CRONOPLE!$F$14,$M184,AT$13))))</f>
        <v>0</v>
      </c>
      <c r="AU184" s="216">
        <f ca="1">IF($D184&lt;&gt;"Serviço",0,IF(AND(AUTOEVENTO="Manual",$M184=1),0,IF(OFFSET(CRONOPLE!$F$14,$M184,AU$13)="",10^12,OFFSET(CRONOPLE!$F$14,$M184,AU$13))))</f>
        <v>0</v>
      </c>
      <c r="AV184" s="216">
        <f ca="1">IF($D184&lt;&gt;"Serviço",0,IF(AND(AUTOEVENTO="Manual",$M184=1),0,IF(OFFSET(CRONOPLE!$F$14,$M184,AV$13)="",10^12,OFFSET(CRONOPLE!$F$14,$M184,AV$13))))</f>
        <v>0</v>
      </c>
      <c r="AX184" s="217">
        <f ca="1">IF($D184&lt;&gt;"Serviço",0,IF(OR(AND(AUTOEVENTO="Manual",$M184=1),$M184&gt;(ROW(PLE.lastrow)-ROW(PLE.firstrow))),0,IF(OFFSET(PLE!$G$14,$M184,AX$13)="",10^12,OFFSET(PLE!$G$14,$M184,AX$13))))</f>
        <v>0</v>
      </c>
      <c r="AY184" s="217">
        <f ca="1">IF($D184&lt;&gt;"Serviço",0,IF(OR(AND(AUTOEVENTO="Manual",$M184=1),$M184&gt;(ROW(PLE.lastrow)-ROW(PLE.firstrow))),0,IF(OFFSET(PLE!$G$14,$M184,AY$13)="",10^12,OFFSET(PLE!$G$14,$M184,AY$13))))</f>
        <v>0</v>
      </c>
      <c r="AZ184" s="217">
        <f ca="1">IF($D184&lt;&gt;"Serviço",0,IF(OR(AND(AUTOEVENTO="Manual",$M184=1),$M184&gt;(ROW(PLE.lastrow)-ROW(PLE.firstrow))),0,IF(OFFSET(PLE!$G$14,$M184,AZ$13)="",10^12,OFFSET(PLE!$G$14,$M184,AZ$13))))</f>
        <v>0</v>
      </c>
      <c r="BA184" s="217">
        <f ca="1">IF($D184&lt;&gt;"Serviço",0,IF(OR(AND(AUTOEVENTO="Manual",$M184=1),$M184&gt;(ROW(PLE.lastrow)-ROW(PLE.firstrow))),0,IF(OFFSET(PLE!$G$14,$M184,BA$13)="",10^12,OFFSET(PLE!$G$14,$M184,BA$13))))</f>
        <v>0</v>
      </c>
      <c r="BB184" s="217">
        <f ca="1">IF($D184&lt;&gt;"Serviço",0,IF(OR(AND(AUTOEVENTO="Manual",$M184=1),$M184&gt;(ROW(PLE.lastrow)-ROW(PLE.firstrow))),0,IF(OFFSET(PLE!$G$14,$M184,BB$13)="",10^12,OFFSET(PLE!$G$14,$M184,BB$13))))</f>
        <v>0</v>
      </c>
      <c r="BC184" s="217">
        <f ca="1">IF($D184&lt;&gt;"Serviço",0,IF(OR(AND(AUTOEVENTO="Manual",$M184=1),$M184&gt;(ROW(PLE.lastrow)-ROW(PLE.firstrow))),0,IF(OFFSET(PLE!$G$14,$M184,BC$13)="",10^12,OFFSET(PLE!$G$14,$M184,BC$13))))</f>
        <v>0</v>
      </c>
      <c r="BD184" s="217">
        <f ca="1">IF($D184&lt;&gt;"Serviço",0,IF(OR(AND(AUTOEVENTO="Manual",$M184=1),$M184&gt;(ROW(PLE.lastrow)-ROW(PLE.firstrow))),0,IF(OFFSET(PLE!$G$14,$M184,BD$13)="",10^12,OFFSET(PLE!$G$14,$M184,BD$13))))</f>
        <v>0</v>
      </c>
      <c r="BE184" s="217">
        <f ca="1">IF($D184&lt;&gt;"Serviço",0,IF(OR(AND(AUTOEVENTO="Manual",$M184=1),$M184&gt;(ROW(PLE.lastrow)-ROW(PLE.firstrow))),0,IF(OFFSET(PLE!$G$14,$M184,BE$13)="",10^12,OFFSET(PLE!$G$14,$M184,BE$13))))</f>
        <v>0</v>
      </c>
      <c r="BF184" s="217">
        <f ca="1">IF($D184&lt;&gt;"Serviço",0,IF(OR(AND(AUTOEVENTO="Manual",$M184=1),$M184&gt;(ROW(PLE.lastrow)-ROW(PLE.firstrow))),0,IF(OFFSET(PLE!$G$14,$M184,BF$13)="",10^12,OFFSET(PLE!$G$14,$M184,BF$13))))</f>
        <v>0</v>
      </c>
      <c r="BG184" s="217">
        <f ca="1">IF($D184&lt;&gt;"Serviço",0,IF(OR(AND(AUTOEVENTO="Manual",$M184=1),$M184&gt;(ROW(PLE.lastrow)-ROW(PLE.firstrow))),0,IF(OFFSET(PLE!$G$14,$M184,BG$13)="",10^12,OFFSET(PLE!$G$14,$M184,BG$13))))</f>
        <v>0</v>
      </c>
    </row>
    <row r="185" spans="1:59" ht="12.75" x14ac:dyDescent="0.2">
      <c r="A185" s="9" t="str">
        <f t="shared" ca="1" si="10"/>
        <v>169</v>
      </c>
      <c r="B185" s="9" t="str">
        <f ca="1">OFFSET(ORÇAMENTO!C$15,ROW(B185)-ROW(B$15),0)</f>
        <v>S</v>
      </c>
      <c r="C185" s="9" t="str">
        <f ca="1">OFFSET(ORÇAMENTO!L$15,ROW(C185)-ROW(C$15),0)</f>
        <v>F</v>
      </c>
      <c r="D185" s="146" t="str">
        <f ca="1">OFFSET(ORÇAMENTO!N$15,ROW(D185)-ROW(D$15),0)</f>
        <v>Serviço</v>
      </c>
      <c r="E185" s="206" t="str">
        <f ca="1">OFFSET(ORÇAMENTO!O$15,ROW(E185)-ROW(E$15),0)</f>
        <v>3.5.1.</v>
      </c>
      <c r="F185" s="207" t="str">
        <f ca="1">OFFSET(ORÇAMENTO!R$15,ROW(F185)-ROW(F$15),0)</f>
        <v>FIO DE COBRE, SOLIDO, CLASSE 1, ISOLACAO EM PVC/A, ANTICHAMA BWF-B, 450/750V, SECAO NOMINAL 2,5 MM2</v>
      </c>
      <c r="G185" s="208" t="str">
        <f ca="1">IF($D185&lt;&gt;"Serviço","",OFFSET(ORÇAMENTO!S$15,ROW(G185)-ROW(G$15),0))</f>
        <v xml:space="preserve">M     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147.5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18</v>
      </c>
      <c r="N185" s="212" t="str">
        <f ca="1">IF($D185&lt;&gt;"Serviço","",IF(AUTOEVENTO="Manual",IF($A185=0,"&lt;-- defina o número do agrupador",OFFSET(EVENTOS!$D$14,$A185,0)),OFFSET($F$15,$A185,0)))</f>
        <v>(INSTALAÇOES ELETRICAS)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169</v>
      </c>
      <c r="B186" s="9" t="str">
        <f ca="1">OFFSET(ORÇAMENTO!C$15,ROW(B186)-ROW(B$15),0)</f>
        <v>S</v>
      </c>
      <c r="C186" s="9" t="str">
        <f ca="1">OFFSET(ORÇAMENTO!L$15,ROW(C186)-ROW(C$15),0)</f>
        <v>F</v>
      </c>
      <c r="D186" s="146" t="str">
        <f ca="1">OFFSET(ORÇAMENTO!N$15,ROW(D186)-ROW(D$15),0)</f>
        <v>Serviço</v>
      </c>
      <c r="E186" s="206" t="str">
        <f ca="1">OFFSET(ORÇAMENTO!O$15,ROW(E186)-ROW(E$15),0)</f>
        <v>3.5.2.</v>
      </c>
      <c r="F186" s="207" t="str">
        <f ca="1">OFFSET(ORÇAMENTO!R$15,ROW(F186)-ROW(F$15),0)</f>
        <v>FIO DE COBRE, SOLIDO, CLASSE 1, ISOLACAO EM PVC/A, ANTICHAMA BWF-B, 450/750V, SECAO NOMINAL 4 MM2</v>
      </c>
      <c r="G186" s="208" t="str">
        <f ca="1">IF($D186&lt;&gt;"Serviço","",OFFSET(ORÇAMENTO!S$15,ROW(G186)-ROW(G$15),0))</f>
        <v xml:space="preserve">M     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437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18</v>
      </c>
      <c r="N186" s="212" t="str">
        <f ca="1">IF($D186&lt;&gt;"Serviço","",IF(AUTOEVENTO="Manual",IF($A186=0,"&lt;-- defina o número do agrupador",OFFSET(EVENTOS!$D$14,$A186,0)),OFFSET($F$15,$A186,0)))</f>
        <v>(INSTALAÇOES ELETRICAS)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169</v>
      </c>
      <c r="B187" s="9" t="str">
        <f ca="1">OFFSET(ORÇAMENTO!C$15,ROW(B187)-ROW(B$15),0)</f>
        <v>S</v>
      </c>
      <c r="C187" s="9" t="str">
        <f ca="1">OFFSET(ORÇAMENTO!L$15,ROW(C187)-ROW(C$15),0)</f>
        <v>F</v>
      </c>
      <c r="D187" s="146" t="str">
        <f ca="1">OFFSET(ORÇAMENTO!N$15,ROW(D187)-ROW(D$15),0)</f>
        <v>Serviço</v>
      </c>
      <c r="E187" s="206" t="str">
        <f ca="1">OFFSET(ORÇAMENTO!O$15,ROW(E187)-ROW(E$15),0)</f>
        <v>3.5.3.</v>
      </c>
      <c r="F187" s="207" t="str">
        <f ca="1">OFFSET(ORÇAMENTO!R$15,ROW(F187)-ROW(F$15),0)</f>
        <v>FIO DE COBRE, SOLIDO, CLASSE 1, ISOLACAO EM PVC/A, ANTICHAMA BWF-B, 450/750V, SECAO NOMINAL 6 MM2</v>
      </c>
      <c r="G187" s="208" t="str">
        <f ca="1">IF($D187&lt;&gt;"Serviço","",OFFSET(ORÇAMENTO!S$15,ROW(G187)-ROW(G$15),0))</f>
        <v xml:space="preserve">M     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40.799999999999997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18</v>
      </c>
      <c r="N187" s="212" t="str">
        <f ca="1">IF($D187&lt;&gt;"Serviço","",IF(AUTOEVENTO="Manual",IF($A187=0,"&lt;-- defina o número do agrupador",OFFSET(EVENTOS!$D$14,$A187,0)),OFFSET($F$15,$A187,0)))</f>
        <v>(INSTALAÇOES ELETRICAS)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169</v>
      </c>
      <c r="B188" s="9" t="str">
        <f ca="1">OFFSET(ORÇAMENTO!C$15,ROW(B188)-ROW(B$15),0)</f>
        <v>S</v>
      </c>
      <c r="C188" s="9" t="str">
        <f ca="1">OFFSET(ORÇAMENTO!L$15,ROW(C188)-ROW(C$15),0)</f>
        <v>F</v>
      </c>
      <c r="D188" s="146" t="str">
        <f ca="1">OFFSET(ORÇAMENTO!N$15,ROW(D188)-ROW(D$15),0)</f>
        <v>Serviço</v>
      </c>
      <c r="E188" s="206" t="str">
        <f ca="1">OFFSET(ORÇAMENTO!O$15,ROW(E188)-ROW(E$15),0)</f>
        <v>3.5.4.</v>
      </c>
      <c r="F188" s="207" t="str">
        <f ca="1">OFFSET(ORÇAMENTO!R$15,ROW(F188)-ROW(F$15),0)</f>
        <v>INTERRUPTOR SIMPLES + INTERRUPTOR PARALELO 10A, 250V, CONJUNTO MONTADO PARA EMBUTIR 4" X 2" (PLACA + SUPORTE + MODULOS)</v>
      </c>
      <c r="G188" s="208" t="str">
        <f ca="1">IF($D188&lt;&gt;"Serviço","",OFFSET(ORÇAMENTO!S$15,ROW(G188)-ROW(G$15),0))</f>
        <v xml:space="preserve">UN    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2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18</v>
      </c>
      <c r="N188" s="212" t="str">
        <f ca="1">IF($D188&lt;&gt;"Serviço","",IF(AUTOEVENTO="Manual",IF($A188=0,"&lt;-- defina o número do agrupador",OFFSET(EVENTOS!$D$14,$A188,0)),OFFSET($F$15,$A188,0)))</f>
        <v>(INSTALAÇOES ELETRICAS)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169</v>
      </c>
      <c r="B189" s="9" t="str">
        <f ca="1">OFFSET(ORÇAMENTO!C$15,ROW(B189)-ROW(B$15),0)</f>
        <v>S</v>
      </c>
      <c r="C189" s="9" t="str">
        <f ca="1">OFFSET(ORÇAMENTO!L$15,ROW(C189)-ROW(C$15),0)</f>
        <v>F</v>
      </c>
      <c r="D189" s="146" t="str">
        <f ca="1">OFFSET(ORÇAMENTO!N$15,ROW(D189)-ROW(D$15),0)</f>
        <v>Serviço</v>
      </c>
      <c r="E189" s="206" t="str">
        <f ca="1">OFFSET(ORÇAMENTO!O$15,ROW(E189)-ROW(E$15),0)</f>
        <v>3.5.5.</v>
      </c>
      <c r="F189" s="207" t="str">
        <f ca="1">OFFSET(ORÇAMENTO!R$15,ROW(F189)-ROW(F$15),0)</f>
        <v>TOMADA 2P+T 20A 250V, CONJUNTO MONTADO PARA EMBUTIR 4" X 2" (PLACA + SUPORTE + MODULO)</v>
      </c>
      <c r="G189" s="208" t="str">
        <f ca="1">IF($D189&lt;&gt;"Serviço","",OFFSET(ORÇAMENTO!S$15,ROW(G189)-ROW(G$15),0))</f>
        <v xml:space="preserve">UN    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14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18</v>
      </c>
      <c r="N189" s="212" t="str">
        <f ca="1">IF($D189&lt;&gt;"Serviço","",IF(AUTOEVENTO="Manual",IF($A189=0,"&lt;-- defina o número do agrupador",OFFSET(EVENTOS!$D$14,$A189,0)),OFFSET($F$15,$A189,0)))</f>
        <v>(INSTALAÇOES ELETRICAS)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169</v>
      </c>
      <c r="B190" s="9" t="str">
        <f ca="1">OFFSET(ORÇAMENTO!C$15,ROW(B190)-ROW(B$15),0)</f>
        <v>S</v>
      </c>
      <c r="C190" s="9" t="str">
        <f ca="1">OFFSET(ORÇAMENTO!L$15,ROW(C190)-ROW(C$15),0)</f>
        <v>F</v>
      </c>
      <c r="D190" s="146" t="str">
        <f ca="1">OFFSET(ORÇAMENTO!N$15,ROW(D190)-ROW(D$15),0)</f>
        <v>Serviço</v>
      </c>
      <c r="E190" s="206" t="str">
        <f ca="1">OFFSET(ORÇAMENTO!O$15,ROW(E190)-ROW(E$15),0)</f>
        <v>3.5.6.</v>
      </c>
      <c r="F190" s="207" t="str">
        <f ca="1">OFFSET(ORÇAMENTO!R$15,ROW(F190)-ROW(F$15),0)</f>
        <v>QUADRO DE DISTRIBUICAO, SEM BARRAMENTO, EM PVC, DE SOBREPOR, PARA 6 DISJUNTORES NEMA OU 8 DISJUNTORES DIN</v>
      </c>
      <c r="G190" s="208" t="str">
        <f ca="1">IF($D190&lt;&gt;"Serviço","",OFFSET(ORÇAMENTO!S$15,ROW(G190)-ROW(G$15),0))</f>
        <v xml:space="preserve">UN    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1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18</v>
      </c>
      <c r="N190" s="212" t="str">
        <f ca="1">IF($D190&lt;&gt;"Serviço","",IF(AUTOEVENTO="Manual",IF($A190=0,"&lt;-- defina o número do agrupador",OFFSET(EVENTOS!$D$14,$A190,0)),OFFSET($F$15,$A190,0)))</f>
        <v>(INSTALAÇOES ELETRICAS)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169</v>
      </c>
      <c r="B191" s="9" t="str">
        <f ca="1">OFFSET(ORÇAMENTO!C$15,ROW(B191)-ROW(B$15),0)</f>
        <v>S</v>
      </c>
      <c r="C191" s="9" t="str">
        <f ca="1">OFFSET(ORÇAMENTO!L$15,ROW(C191)-ROW(C$15),0)</f>
        <v>F</v>
      </c>
      <c r="D191" s="146" t="str">
        <f ca="1">OFFSET(ORÇAMENTO!N$15,ROW(D191)-ROW(D$15),0)</f>
        <v>Serviço</v>
      </c>
      <c r="E191" s="206" t="str">
        <f ca="1">OFFSET(ORÇAMENTO!O$15,ROW(E191)-ROW(E$15),0)</f>
        <v>3.5.7.</v>
      </c>
      <c r="F191" s="207" t="str">
        <f ca="1">OFFSET(ORÇAMENTO!R$15,ROW(F191)-ROW(F$15),0)</f>
        <v>SOQUETE DE PORCELANA BASE E27, FIXO DE TETO, PARA LAMPADAS</v>
      </c>
      <c r="G191" s="208" t="str">
        <f ca="1">IF($D191&lt;&gt;"Serviço","",OFFSET(ORÇAMENTO!S$15,ROW(G191)-ROW(G$15),0))</f>
        <v xml:space="preserve">UN    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9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18</v>
      </c>
      <c r="N191" s="212" t="str">
        <f ca="1">IF($D191&lt;&gt;"Serviço","",IF(AUTOEVENTO="Manual",IF($A191=0,"&lt;-- defina o número do agrupador",OFFSET(EVENTOS!$D$14,$A191,0)),OFFSET($F$15,$A191,0)))</f>
        <v>(INSTALAÇOES ELETRICAS)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169</v>
      </c>
      <c r="B192" s="9" t="str">
        <f ca="1">OFFSET(ORÇAMENTO!C$15,ROW(B192)-ROW(B$15),0)</f>
        <v>S</v>
      </c>
      <c r="C192" s="9" t="str">
        <f ca="1">OFFSET(ORÇAMENTO!L$15,ROW(C192)-ROW(C$15),0)</f>
        <v>F</v>
      </c>
      <c r="D192" s="146" t="str">
        <f ca="1">OFFSET(ORÇAMENTO!N$15,ROW(D192)-ROW(D$15),0)</f>
        <v>Serviço</v>
      </c>
      <c r="E192" s="206" t="str">
        <f ca="1">OFFSET(ORÇAMENTO!O$15,ROW(E192)-ROW(E$15),0)</f>
        <v>3.5.8.</v>
      </c>
      <c r="F192" s="207" t="str">
        <f ca="1">OFFSET(ORÇAMENTO!R$15,ROW(F192)-ROW(F$15),0)</f>
        <v>LAMPADA FLUORESCENTE ESPIRAL BRANCA 45 W, BASE E27 (127/220 V)</v>
      </c>
      <c r="G192" s="208" t="str">
        <f ca="1">IF($D192&lt;&gt;"Serviço","",OFFSET(ORÇAMENTO!S$15,ROW(G192)-ROW(G$15),0))</f>
        <v xml:space="preserve">UN    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9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18</v>
      </c>
      <c r="N192" s="212" t="str">
        <f ca="1">IF($D192&lt;&gt;"Serviço","",IF(AUTOEVENTO="Manual",IF($A192=0,"&lt;-- defina o número do agrupador",OFFSET(EVENTOS!$D$14,$A192,0)),OFFSET($F$15,$A192,0)))</f>
        <v>(INSTALAÇOES ELETRICAS)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169</v>
      </c>
      <c r="B193" s="9" t="str">
        <f ca="1">OFFSET(ORÇAMENTO!C$15,ROW(B193)-ROW(B$15),0)</f>
        <v>S</v>
      </c>
      <c r="C193" s="9" t="str">
        <f ca="1">OFFSET(ORÇAMENTO!L$15,ROW(C193)-ROW(C$15),0)</f>
        <v>F</v>
      </c>
      <c r="D193" s="146" t="str">
        <f ca="1">OFFSET(ORÇAMENTO!N$15,ROW(D193)-ROW(D$15),0)</f>
        <v>Serviço</v>
      </c>
      <c r="E193" s="206" t="str">
        <f ca="1">OFFSET(ORÇAMENTO!O$15,ROW(E193)-ROW(E$15),0)</f>
        <v>3.5.9.</v>
      </c>
      <c r="F193" s="207" t="str">
        <f ca="1">OFFSET(ORÇAMENTO!R$15,ROW(F193)-ROW(F$15),0)</f>
        <v>ELETRODUTO RÍGIDO ROSCÁVEL, PVC, DN 25 MM (3/4"), PARA CIRCUITOS TERMINAIS, INSTALADO EM FORRO - FORNECIMENTO E INSTALAÇÃO. AF_12/2015</v>
      </c>
      <c r="G193" s="208" t="str">
        <f ca="1">IF($D193&lt;&gt;"Serviço","",OFFSET(ORÇAMENTO!S$15,ROW(G193)-ROW(G$15),0))</f>
        <v>M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32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18</v>
      </c>
      <c r="N193" s="212" t="str">
        <f ca="1">IF($D193&lt;&gt;"Serviço","",IF(AUTOEVENTO="Manual",IF($A193=0,"&lt;-- defina o número do agrupador",OFFSET(EVENTOS!$D$14,$A193,0)),OFFSET($F$15,$A193,0)))</f>
        <v>(INSTALAÇOES ELETRICAS)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169</v>
      </c>
      <c r="B194" s="9" t="str">
        <f ca="1">OFFSET(ORÇAMENTO!C$15,ROW(B194)-ROW(B$15),0)</f>
        <v>S</v>
      </c>
      <c r="C194" s="9" t="str">
        <f ca="1">OFFSET(ORÇAMENTO!L$15,ROW(C194)-ROW(C$15),0)</f>
        <v>F</v>
      </c>
      <c r="D194" s="146" t="str">
        <f ca="1">OFFSET(ORÇAMENTO!N$15,ROW(D194)-ROW(D$15),0)</f>
        <v>Serviço</v>
      </c>
      <c r="E194" s="206" t="str">
        <f ca="1">OFFSET(ORÇAMENTO!O$15,ROW(E194)-ROW(E$15),0)</f>
        <v>3.5.10.</v>
      </c>
      <c r="F194" s="207" t="str">
        <f ca="1">OFFSET(ORÇAMENTO!R$15,ROW(F194)-ROW(F$15),0)</f>
        <v>RASGO EM ALVENARIA PARA ELETRODUTOS COM DIAMETROS MENORES OU IGUAIS A 40 MM. AF_05/2015</v>
      </c>
      <c r="G194" s="208" t="str">
        <f ca="1">IF($D194&lt;&gt;"Serviço","",OFFSET(ORÇAMENTO!S$15,ROW(G194)-ROW(G$15),0))</f>
        <v>M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32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18</v>
      </c>
      <c r="N194" s="212" t="str">
        <f ca="1">IF($D194&lt;&gt;"Serviço","",IF(AUTOEVENTO="Manual",IF($A194=0,"&lt;-- defina o número do agrupador",OFFSET(EVENTOS!$D$14,$A194,0)),OFFSET($F$15,$A194,0)))</f>
        <v>(INSTALAÇOES ELETRICAS)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169</v>
      </c>
      <c r="B195" s="9" t="str">
        <f ca="1">OFFSET(ORÇAMENTO!C$15,ROW(B195)-ROW(B$15),0)</f>
        <v>S</v>
      </c>
      <c r="C195" s="9" t="str">
        <f ca="1">OFFSET(ORÇAMENTO!L$15,ROW(C195)-ROW(C$15),0)</f>
        <v>F</v>
      </c>
      <c r="D195" s="146" t="str">
        <f ca="1">OFFSET(ORÇAMENTO!N$15,ROW(D195)-ROW(D$15),0)</f>
        <v>Serviço</v>
      </c>
      <c r="E195" s="206" t="str">
        <f ca="1">OFFSET(ORÇAMENTO!O$15,ROW(E195)-ROW(E$15),0)</f>
        <v>3.5.11.</v>
      </c>
      <c r="F195" s="207" t="str">
        <f ca="1">OFFSET(ORÇAMENTO!R$15,ROW(F195)-ROW(F$15),0)</f>
        <v>DISJUNTOR MONOPOLAR TIPO DIN, CORRENTE NOMINAL DE 25A - FORNECIMENTO E INSTALAÇÃO. AF_04/2016</v>
      </c>
      <c r="G195" s="208" t="str">
        <f ca="1">IF($D195&lt;&gt;"Serviço","",OFFSET(ORÇAMENTO!S$15,ROW(G195)-ROW(G$15),0))</f>
        <v>UN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7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18</v>
      </c>
      <c r="N195" s="212" t="str">
        <f ca="1">IF($D195&lt;&gt;"Serviço","",IF(AUTOEVENTO="Manual",IF($A195=0,"&lt;-- defina o número do agrupador",OFFSET(EVENTOS!$D$14,$A195,0)),OFFSET($F$15,$A195,0)))</f>
        <v>(INSTALAÇOES ELETRICAS)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169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18</v>
      </c>
      <c r="N196" s="212" t="str">
        <f ca="1">IF($D196&lt;&gt;"Serviço","",IF(AUTOEVENTO="Manual",IF($A196=0,"&lt;-- defina o número do agrupador",OFFSET(EVENTOS!$D$14,$A196,0)),OFFSET($F$15,$A196,0)))</f>
        <v>(INSTALAÇOES ELETRICAS)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182.</v>
      </c>
      <c r="B197" s="9">
        <f ca="1">OFFSET(ORÇAMENTO!C$15,ROW(B197)-ROW(B$15),0)</f>
        <v>2</v>
      </c>
      <c r="C197" s="9" t="str">
        <f ca="1">OFFSET(ORÇAMENTO!L$15,ROW(C197)-ROW(C$15),0)</f>
        <v>F</v>
      </c>
      <c r="D197" s="146" t="str">
        <f ca="1">OFFSET(ORÇAMENTO!N$15,ROW(D197)-ROW(D$15),0)</f>
        <v>Nível 2</v>
      </c>
      <c r="E197" s="206" t="str">
        <f ca="1">OFFSET(ORÇAMENTO!O$15,ROW(E197)-ROW(E$15),0)</f>
        <v>3.6.</v>
      </c>
      <c r="F197" s="207" t="str">
        <f ca="1">OFFSET(ORÇAMENTO!R$15,ROW(F197)-ROW(F$15),0)</f>
        <v>(INSTALAÇÕES HIDRAULICAS)</v>
      </c>
      <c r="G197" s="208" t="str">
        <f ca="1">IF($D197&lt;&gt;"Serviço","",OFFSET(ORÇAMENTO!S$15,ROW(G197)-ROW(G$15),0))</f>
        <v/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 t="str">
        <f ca="1">IF($D197&lt;&gt;"Serviço","",IF(AUTOEVENTO="manual",$A197,IF(ISERROR(MATCH($A197,$A$15:OFFSET($A197,-1,0),0)),MAX($M$15:OFFSET(M197,-1,0))+1,INDEX($M$15:OFFSET(M197,-1,0),MATCH($A197,$A$15:OFFSET($A197,-1,0),0)))))</f>
        <v/>
      </c>
      <c r="N197" s="212" t="str">
        <f ca="1">IF($D197&lt;&gt;"Serviço","",IF(AUTOEVENTO="Manual",IF($A197=0,"&lt;-- defina o número do agrupador",OFFSET(EVENTOS!$D$14,$A197,0)),OFFSET($F$15,$A197,0)))</f>
        <v/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0</v>
      </c>
      <c r="AN197" s="216">
        <f ca="1">IF($D197&lt;&gt;"Serviço",0,IF(AND(AUTOEVENTO="Manual",$M197=1),0,IF(OFFSET(CRONOPLE!$F$14,$M197,AN$13)="",10^12,OFFSET(CRONOPLE!$F$14,$M197,AN$13))))</f>
        <v>0</v>
      </c>
      <c r="AO197" s="216">
        <f ca="1">IF($D197&lt;&gt;"Serviço",0,IF(AND(AUTOEVENTO="Manual",$M197=1),0,IF(OFFSET(CRONOPLE!$F$14,$M197,AO$13)="",10^12,OFFSET(CRONOPLE!$F$14,$M197,AO$13))))</f>
        <v>0</v>
      </c>
      <c r="AP197" s="216">
        <f ca="1">IF($D197&lt;&gt;"Serviço",0,IF(AND(AUTOEVENTO="Manual",$M197=1),0,IF(OFFSET(CRONOPLE!$F$14,$M197,AP$13)="",10^12,OFFSET(CRONOPLE!$F$14,$M197,AP$13))))</f>
        <v>0</v>
      </c>
      <c r="AQ197" s="216">
        <f ca="1">IF($D197&lt;&gt;"Serviço",0,IF(AND(AUTOEVENTO="Manual",$M197=1),0,IF(OFFSET(CRONOPLE!$F$14,$M197,AQ$13)="",10^12,OFFSET(CRONOPLE!$F$14,$M197,AQ$13))))</f>
        <v>0</v>
      </c>
      <c r="AR197" s="216">
        <f ca="1">IF($D197&lt;&gt;"Serviço",0,IF(AND(AUTOEVENTO="Manual",$M197=1),0,IF(OFFSET(CRONOPLE!$F$14,$M197,AR$13)="",10^12,OFFSET(CRONOPLE!$F$14,$M197,AR$13))))</f>
        <v>0</v>
      </c>
      <c r="AS197" s="216">
        <f ca="1">IF($D197&lt;&gt;"Serviço",0,IF(AND(AUTOEVENTO="Manual",$M197=1),0,IF(OFFSET(CRONOPLE!$F$14,$M197,AS$13)="",10^12,OFFSET(CRONOPLE!$F$14,$M197,AS$13))))</f>
        <v>0</v>
      </c>
      <c r="AT197" s="216">
        <f ca="1">IF($D197&lt;&gt;"Serviço",0,IF(AND(AUTOEVENTO="Manual",$M197=1),0,IF(OFFSET(CRONOPLE!$F$14,$M197,AT$13)="",10^12,OFFSET(CRONOPLE!$F$14,$M197,AT$13))))</f>
        <v>0</v>
      </c>
      <c r="AU197" s="216">
        <f ca="1">IF($D197&lt;&gt;"Serviço",0,IF(AND(AUTOEVENTO="Manual",$M197=1),0,IF(OFFSET(CRONOPLE!$F$14,$M197,AU$13)="",10^12,OFFSET(CRONOPLE!$F$14,$M197,AU$13))))</f>
        <v>0</v>
      </c>
      <c r="AV197" s="216">
        <f ca="1">IF($D197&lt;&gt;"Serviço",0,IF(AND(AUTOEVENTO="Manual",$M197=1),0,IF(OFFSET(CRONOPLE!$F$14,$M197,AV$13)="",10^12,OFFSET(CRONOPLE!$F$14,$M197,AV$13))))</f>
        <v>0</v>
      </c>
      <c r="AX197" s="217">
        <f ca="1">IF($D197&lt;&gt;"Serviço",0,IF(OR(AND(AUTOEVENTO="Manual",$M197=1),$M197&gt;(ROW(PLE.lastrow)-ROW(PLE.firstrow))),0,IF(OFFSET(PLE!$G$14,$M197,AX$13)="",10^12,OFFSET(PLE!$G$14,$M197,AX$13))))</f>
        <v>0</v>
      </c>
      <c r="AY197" s="217">
        <f ca="1">IF($D197&lt;&gt;"Serviço",0,IF(OR(AND(AUTOEVENTO="Manual",$M197=1),$M197&gt;(ROW(PLE.lastrow)-ROW(PLE.firstrow))),0,IF(OFFSET(PLE!$G$14,$M197,AY$13)="",10^12,OFFSET(PLE!$G$14,$M197,AY$13))))</f>
        <v>0</v>
      </c>
      <c r="AZ197" s="217">
        <f ca="1">IF($D197&lt;&gt;"Serviço",0,IF(OR(AND(AUTOEVENTO="Manual",$M197=1),$M197&gt;(ROW(PLE.lastrow)-ROW(PLE.firstrow))),0,IF(OFFSET(PLE!$G$14,$M197,AZ$13)="",10^12,OFFSET(PLE!$G$14,$M197,AZ$13))))</f>
        <v>0</v>
      </c>
      <c r="BA197" s="217">
        <f ca="1">IF($D197&lt;&gt;"Serviço",0,IF(OR(AND(AUTOEVENTO="Manual",$M197=1),$M197&gt;(ROW(PLE.lastrow)-ROW(PLE.firstrow))),0,IF(OFFSET(PLE!$G$14,$M197,BA$13)="",10^12,OFFSET(PLE!$G$14,$M197,BA$13))))</f>
        <v>0</v>
      </c>
      <c r="BB197" s="217">
        <f ca="1">IF($D197&lt;&gt;"Serviço",0,IF(OR(AND(AUTOEVENTO="Manual",$M197=1),$M197&gt;(ROW(PLE.lastrow)-ROW(PLE.firstrow))),0,IF(OFFSET(PLE!$G$14,$M197,BB$13)="",10^12,OFFSET(PLE!$G$14,$M197,BB$13))))</f>
        <v>0</v>
      </c>
      <c r="BC197" s="217">
        <f ca="1">IF($D197&lt;&gt;"Serviço",0,IF(OR(AND(AUTOEVENTO="Manual",$M197=1),$M197&gt;(ROW(PLE.lastrow)-ROW(PLE.firstrow))),0,IF(OFFSET(PLE!$G$14,$M197,BC$13)="",10^12,OFFSET(PLE!$G$14,$M197,BC$13))))</f>
        <v>0</v>
      </c>
      <c r="BD197" s="217">
        <f ca="1">IF($D197&lt;&gt;"Serviço",0,IF(OR(AND(AUTOEVENTO="Manual",$M197=1),$M197&gt;(ROW(PLE.lastrow)-ROW(PLE.firstrow))),0,IF(OFFSET(PLE!$G$14,$M197,BD$13)="",10^12,OFFSET(PLE!$G$14,$M197,BD$13))))</f>
        <v>0</v>
      </c>
      <c r="BE197" s="217">
        <f ca="1">IF($D197&lt;&gt;"Serviço",0,IF(OR(AND(AUTOEVENTO="Manual",$M197=1),$M197&gt;(ROW(PLE.lastrow)-ROW(PLE.firstrow))),0,IF(OFFSET(PLE!$G$14,$M197,BE$13)="",10^12,OFFSET(PLE!$G$14,$M197,BE$13))))</f>
        <v>0</v>
      </c>
      <c r="BF197" s="217">
        <f ca="1">IF($D197&lt;&gt;"Serviço",0,IF(OR(AND(AUTOEVENTO="Manual",$M197=1),$M197&gt;(ROW(PLE.lastrow)-ROW(PLE.firstrow))),0,IF(OFFSET(PLE!$G$14,$M197,BF$13)="",10^12,OFFSET(PLE!$G$14,$M197,BF$13))))</f>
        <v>0</v>
      </c>
      <c r="BG197" s="217">
        <f ca="1">IF($D197&lt;&gt;"Serviço",0,IF(OR(AND(AUTOEVENTO="Manual",$M197=1),$M197&gt;(ROW(PLE.lastrow)-ROW(PLE.firstrow))),0,IF(OFFSET(PLE!$G$14,$M197,BG$13)="",10^12,OFFSET(PLE!$G$14,$M197,BG$13))))</f>
        <v>0</v>
      </c>
    </row>
    <row r="198" spans="1:59" ht="12.75" x14ac:dyDescent="0.2">
      <c r="A198" s="9" t="str">
        <f t="shared" ca="1" si="10"/>
        <v>182</v>
      </c>
      <c r="B198" s="9" t="str">
        <f ca="1">OFFSET(ORÇAMENTO!C$15,ROW(B198)-ROW(B$15),0)</f>
        <v>S</v>
      </c>
      <c r="C198" s="9" t="str">
        <f ca="1">OFFSET(ORÇAMENTO!L$15,ROW(C198)-ROW(C$15),0)</f>
        <v>F</v>
      </c>
      <c r="D198" s="146" t="str">
        <f ca="1">OFFSET(ORÇAMENTO!N$15,ROW(D198)-ROW(D$15),0)</f>
        <v>Serviço</v>
      </c>
      <c r="E198" s="206" t="str">
        <f ca="1">OFFSET(ORÇAMENTO!O$15,ROW(E198)-ROW(E$15),0)</f>
        <v>3.6.1.</v>
      </c>
      <c r="F198" s="207" t="str">
        <f ca="1">OFFSET(ORÇAMENTO!R$15,ROW(F198)-ROW(F$15),0)</f>
        <v>TUBO PVC, SERIE NORMAL, ESGOTO PREDIAL, DN 100 MM, FORNECIDO E INSTALADO EM RAMAL DE DESCARGA OU RAMAL DE ESGOTO SANITÁRIO. AF_12/2014</v>
      </c>
      <c r="G198" s="208" t="str">
        <f ca="1">IF($D198&lt;&gt;"Serviço","",OFFSET(ORÇAMENTO!S$15,ROW(G198)-ROW(G$15),0))</f>
        <v>M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23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19</v>
      </c>
      <c r="N198" s="212" t="str">
        <f ca="1">IF($D198&lt;&gt;"Serviço","",IF(AUTOEVENTO="Manual",IF($A198=0,"&lt;-- defina o número do agrupador",OFFSET(EVENTOS!$D$14,$A198,0)),OFFSET($F$15,$A198,0)))</f>
        <v>(INSTALAÇÕES HIDRAULICAS)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182</v>
      </c>
      <c r="B199" s="9" t="str">
        <f ca="1">OFFSET(ORÇAMENTO!C$15,ROW(B199)-ROW(B$15),0)</f>
        <v>S</v>
      </c>
      <c r="C199" s="9" t="str">
        <f ca="1">OFFSET(ORÇAMENTO!L$15,ROW(C199)-ROW(C$15),0)</f>
        <v>F</v>
      </c>
      <c r="D199" s="146" t="str">
        <f ca="1">OFFSET(ORÇAMENTO!N$15,ROW(D199)-ROW(D$15),0)</f>
        <v>Serviço</v>
      </c>
      <c r="E199" s="206" t="str">
        <f ca="1">OFFSET(ORÇAMENTO!O$15,ROW(E199)-ROW(E$15),0)</f>
        <v>3.6.2.</v>
      </c>
      <c r="F199" s="207" t="str">
        <f ca="1">OFFSET(ORÇAMENTO!R$15,ROW(F199)-ROW(F$15),0)</f>
        <v>TUBO PVC, SOLDAVEL, DN 25 MM, AGUA FRIA (NBR-5648)</v>
      </c>
      <c r="G199" s="208" t="str">
        <f ca="1">IF($D199&lt;&gt;"Serviço","",OFFSET(ORÇAMENTO!S$15,ROW(G199)-ROW(G$15),0))</f>
        <v xml:space="preserve">M     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32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19</v>
      </c>
      <c r="N199" s="212" t="str">
        <f ca="1">IF($D199&lt;&gt;"Serviço","",IF(AUTOEVENTO="Manual",IF($A199=0,"&lt;-- defina o número do agrupador",OFFSET(EVENTOS!$D$14,$A199,0)),OFFSET($F$15,$A199,0)))</f>
        <v>(INSTALAÇÕES HIDRAULICAS)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182</v>
      </c>
      <c r="B200" s="9" t="str">
        <f ca="1">OFFSET(ORÇAMENTO!C$15,ROW(B200)-ROW(B$15),0)</f>
        <v>S</v>
      </c>
      <c r="C200" s="9" t="str">
        <f ca="1">OFFSET(ORÇAMENTO!L$15,ROW(C200)-ROW(C$15),0)</f>
        <v>F</v>
      </c>
      <c r="D200" s="146" t="str">
        <f ca="1">OFFSET(ORÇAMENTO!N$15,ROW(D200)-ROW(D$15),0)</f>
        <v>Serviço</v>
      </c>
      <c r="E200" s="206" t="str">
        <f ca="1">OFFSET(ORÇAMENTO!O$15,ROW(E200)-ROW(E$15),0)</f>
        <v>3.6.3.</v>
      </c>
      <c r="F200" s="207" t="str">
        <f ca="1">OFFSET(ORÇAMENTO!R$15,ROW(F200)-ROW(F$15),0)</f>
        <v>CAIXA DE PASSAGEM 30X30X40 COM TAMPA E DRENO BRITA</v>
      </c>
      <c r="G200" s="208" t="str">
        <f ca="1">IF($D200&lt;&gt;"Serviço","",OFFSET(ORÇAMENTO!S$15,ROW(G200)-ROW(G$15),0))</f>
        <v>UN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4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19</v>
      </c>
      <c r="N200" s="212" t="str">
        <f ca="1">IF($D200&lt;&gt;"Serviço","",IF(AUTOEVENTO="Manual",IF($A200=0,"&lt;-- defina o número do agrupador",OFFSET(EVENTOS!$D$14,$A200,0)),OFFSET($F$15,$A200,0)))</f>
        <v>(INSTALAÇÕES HIDRAULICAS)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182</v>
      </c>
      <c r="B201" s="9" t="str">
        <f ca="1">OFFSET(ORÇAMENTO!C$15,ROW(B201)-ROW(B$15),0)</f>
        <v>S</v>
      </c>
      <c r="C201" s="9" t="str">
        <f ca="1">OFFSET(ORÇAMENTO!L$15,ROW(C201)-ROW(C$15),0)</f>
        <v>F</v>
      </c>
      <c r="D201" s="146" t="str">
        <f ca="1">OFFSET(ORÇAMENTO!N$15,ROW(D201)-ROW(D$15),0)</f>
        <v>Serviço</v>
      </c>
      <c r="E201" s="206" t="str">
        <f ca="1">OFFSET(ORÇAMENTO!O$15,ROW(E201)-ROW(E$15),0)</f>
        <v>3.6.4.</v>
      </c>
      <c r="F201" s="207" t="str">
        <f ca="1">OFFSET(ORÇAMENTO!R$15,ROW(F201)-ROW(F$15),0)</f>
        <v>CAIXA SIFONADA, PVC, DN 100 X 100 X 50 MM, JUNTA ELÁSTICA, FORNECIDA E INSTALADA EM RAMAL DE DESCARGA OU EM RAMAL DE ESGOTO SANITÁRIO. AF_12/2014</v>
      </c>
      <c r="G201" s="208" t="str">
        <f ca="1">IF($D201&lt;&gt;"Serviço","",OFFSET(ORÇAMENTO!S$15,ROW(G201)-ROW(G$15),0))</f>
        <v>UN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2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19</v>
      </c>
      <c r="N201" s="212" t="str">
        <f ca="1">IF($D201&lt;&gt;"Serviço","",IF(AUTOEVENTO="Manual",IF($A201=0,"&lt;-- defina o número do agrupador",OFFSET(EVENTOS!$D$14,$A201,0)),OFFSET($F$15,$A201,0)))</f>
        <v>(INSTALAÇÕES HIDRAULICAS)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182</v>
      </c>
      <c r="B202" s="9" t="str">
        <f ca="1">OFFSET(ORÇAMENTO!C$15,ROW(B202)-ROW(B$15),0)</f>
        <v>S</v>
      </c>
      <c r="C202" s="9" t="str">
        <f ca="1">OFFSET(ORÇAMENTO!L$15,ROW(C202)-ROW(C$15),0)</f>
        <v>F</v>
      </c>
      <c r="D202" s="146" t="str">
        <f ca="1">OFFSET(ORÇAMENTO!N$15,ROW(D202)-ROW(D$15),0)</f>
        <v>Serviço</v>
      </c>
      <c r="E202" s="206" t="str">
        <f ca="1">OFFSET(ORÇAMENTO!O$15,ROW(E202)-ROW(E$15),0)</f>
        <v>3.6.5.</v>
      </c>
      <c r="F202" s="207" t="str">
        <f ca="1">OFFSET(ORÇAMENTO!R$15,ROW(F202)-ROW(F$15),0)</f>
        <v>TE, PVC, SOLDÁVEL, DN 25MM, INSTALADO EM RAMAL DE DISTRIBUIÇÃO DE ÁGUA - FORNECIMENTO E INSTALAÇÃO. AF_12/2014</v>
      </c>
      <c r="G202" s="208" t="str">
        <f ca="1">IF($D202&lt;&gt;"Serviço","",OFFSET(ORÇAMENTO!S$15,ROW(G202)-ROW(G$15),0))</f>
        <v>UN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8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19</v>
      </c>
      <c r="N202" s="212" t="str">
        <f ca="1">IF($D202&lt;&gt;"Serviço","",IF(AUTOEVENTO="Manual",IF($A202=0,"&lt;-- defina o número do agrupador",OFFSET(EVENTOS!$D$14,$A202,0)),OFFSET($F$15,$A202,0)))</f>
        <v>(INSTALAÇÕES HIDRAULICAS)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182</v>
      </c>
      <c r="B203" s="9" t="str">
        <f ca="1">OFFSET(ORÇAMENTO!C$15,ROW(B203)-ROW(B$15),0)</f>
        <v>S</v>
      </c>
      <c r="C203" s="9" t="str">
        <f ca="1">OFFSET(ORÇAMENTO!L$15,ROW(C203)-ROW(C$15),0)</f>
        <v>F</v>
      </c>
      <c r="D203" s="146" t="str">
        <f ca="1">OFFSET(ORÇAMENTO!N$15,ROW(D203)-ROW(D$15),0)</f>
        <v>Serviço</v>
      </c>
      <c r="E203" s="206" t="str">
        <f ca="1">OFFSET(ORÇAMENTO!O$15,ROW(E203)-ROW(E$15),0)</f>
        <v>3.6.6.</v>
      </c>
      <c r="F203" s="207" t="str">
        <f ca="1">OFFSET(ORÇAMENTO!R$15,ROW(F203)-ROW(F$15),0)</f>
        <v>JOELHO 90 GRAUS, PVC, SERIE NORMAL, ESGOTO PREDIAL, DN 100 MM, JUNTA ELÁSTICA, FORNECIDO E INSTALADO EM RAMAL DE DESCARGA OU RAMAL DE ESGOTO SANITÁRIO. AF_12/2014</v>
      </c>
      <c r="G203" s="208" t="str">
        <f ca="1">IF($D203&lt;&gt;"Serviço","",OFFSET(ORÇAMENTO!S$15,ROW(G203)-ROW(G$15),0))</f>
        <v>UN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8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19</v>
      </c>
      <c r="N203" s="212" t="str">
        <f ca="1">IF($D203&lt;&gt;"Serviço","",IF(AUTOEVENTO="Manual",IF($A203=0,"&lt;-- defina o número do agrupador",OFFSET(EVENTOS!$D$14,$A203,0)),OFFSET($F$15,$A203,0)))</f>
        <v>(INSTALAÇÕES HIDRAULICAS)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182</v>
      </c>
      <c r="B204" s="9" t="str">
        <f ca="1">OFFSET(ORÇAMENTO!C$15,ROW(B204)-ROW(B$15),0)</f>
        <v>S</v>
      </c>
      <c r="C204" s="9" t="str">
        <f ca="1">OFFSET(ORÇAMENTO!L$15,ROW(C204)-ROW(C$15),0)</f>
        <v>F</v>
      </c>
      <c r="D204" s="146" t="str">
        <f ca="1">OFFSET(ORÇAMENTO!N$15,ROW(D204)-ROW(D$15),0)</f>
        <v>Serviço</v>
      </c>
      <c r="E204" s="206" t="str">
        <f ca="1">OFFSET(ORÇAMENTO!O$15,ROW(E204)-ROW(E$15),0)</f>
        <v>3.6.7.</v>
      </c>
      <c r="F204" s="207" t="str">
        <f ca="1">OFFSET(ORÇAMENTO!R$15,ROW(F204)-ROW(F$15),0)</f>
        <v>JOELHO 90 GRAUS, PVC, SOLDÁVEL, DN 25MM, INSTALADO EM RAMAL OU SUB-RAMAL DE ÁGUA - FORNECIMENTO E INSTALAÇÃO. AF_12/2014</v>
      </c>
      <c r="G204" s="208" t="str">
        <f ca="1">IF($D204&lt;&gt;"Serviço","",OFFSET(ORÇAMENTO!S$15,ROW(G204)-ROW(G$15),0))</f>
        <v>UN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8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19</v>
      </c>
      <c r="N204" s="212" t="str">
        <f ca="1">IF($D204&lt;&gt;"Serviço","",IF(AUTOEVENTO="Manual",IF($A204=0,"&lt;-- defina o número do agrupador",OFFSET(EVENTOS!$D$14,$A204,0)),OFFSET($F$15,$A204,0)))</f>
        <v>(INSTALAÇÕES HIDRAULICAS)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182</v>
      </c>
      <c r="B205" s="9" t="str">
        <f ca="1">OFFSET(ORÇAMENTO!C$15,ROW(B205)-ROW(B$15),0)</f>
        <v>S</v>
      </c>
      <c r="C205" s="9" t="str">
        <f ca="1">OFFSET(ORÇAMENTO!L$15,ROW(C205)-ROW(C$15),0)</f>
        <v>F</v>
      </c>
      <c r="D205" s="146" t="str">
        <f ca="1">OFFSET(ORÇAMENTO!N$15,ROW(D205)-ROW(D$15),0)</f>
        <v>Serviço</v>
      </c>
      <c r="E205" s="206" t="str">
        <f ca="1">OFFSET(ORÇAMENTO!O$15,ROW(E205)-ROW(E$15),0)</f>
        <v>3.6.8.</v>
      </c>
      <c r="F205" s="207" t="str">
        <f ca="1">OFFSET(ORÇAMENTO!R$15,ROW(F205)-ROW(F$15),0)</f>
        <v>TORNEIRA CROMADA DE MESA, 1/2 OU 3/4, PARA LAVATÓRIO, PADRÃO POPULAR - FORNECIMENTO E INSTALAÇÃO. AF_01/2020</v>
      </c>
      <c r="G205" s="208" t="str">
        <f ca="1">IF($D205&lt;&gt;"Serviço","",OFFSET(ORÇAMENTO!S$15,ROW(G205)-ROW(G$15),0))</f>
        <v>UN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4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19</v>
      </c>
      <c r="N205" s="212" t="str">
        <f ca="1">IF($D205&lt;&gt;"Serviço","",IF(AUTOEVENTO="Manual",IF($A205=0,"&lt;-- defina o número do agrupador",OFFSET(EVENTOS!$D$14,$A205,0)),OFFSET($F$15,$A205,0)))</f>
        <v>(INSTALAÇÕES HIDRAULICAS)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182</v>
      </c>
      <c r="B206" s="9" t="str">
        <f ca="1">OFFSET(ORÇAMENTO!C$15,ROW(B206)-ROW(B$15),0)</f>
        <v>S</v>
      </c>
      <c r="C206" s="9" t="str">
        <f ca="1">OFFSET(ORÇAMENTO!L$15,ROW(C206)-ROW(C$15),0)</f>
        <v>F</v>
      </c>
      <c r="D206" s="146" t="str">
        <f ca="1">OFFSET(ORÇAMENTO!N$15,ROW(D206)-ROW(D$15),0)</f>
        <v>Serviço</v>
      </c>
      <c r="E206" s="206" t="str">
        <f ca="1">OFFSET(ORÇAMENTO!O$15,ROW(E206)-ROW(E$15),0)</f>
        <v>3.6.9.</v>
      </c>
      <c r="F206" s="207" t="str">
        <f ca="1">OFFSET(ORÇAMENTO!R$15,ROW(F206)-ROW(F$15),0)</f>
        <v>REGISTRO DE GAVETA BRUTO, LATÃO, ROSCÁVEL, 3/4", FORNECIDO E INSTALADO EM RAMAL DE ÁGUA. AF_12/2014</v>
      </c>
      <c r="G206" s="208" t="str">
        <f ca="1">IF($D206&lt;&gt;"Serviço","",OFFSET(ORÇAMENTO!S$15,ROW(G206)-ROW(G$15),0))</f>
        <v>UN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2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19</v>
      </c>
      <c r="N206" s="212" t="str">
        <f ca="1">IF($D206&lt;&gt;"Serviço","",IF(AUTOEVENTO="Manual",IF($A206=0,"&lt;-- defina o número do agrupador",OFFSET(EVENTOS!$D$14,$A206,0)),OFFSET($F$15,$A206,0)))</f>
        <v>(INSTALAÇÕES HIDRAULICAS)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182</v>
      </c>
      <c r="B207" s="9" t="str">
        <f ca="1">OFFSET(ORÇAMENTO!C$15,ROW(B207)-ROW(B$15),0)</f>
        <v>S</v>
      </c>
      <c r="C207" s="9" t="str">
        <f ca="1">OFFSET(ORÇAMENTO!L$15,ROW(C207)-ROW(C$15),0)</f>
        <v>F</v>
      </c>
      <c r="D207" s="146" t="str">
        <f ca="1">OFFSET(ORÇAMENTO!N$15,ROW(D207)-ROW(D$15),0)</f>
        <v>Serviço</v>
      </c>
      <c r="E207" s="206" t="str">
        <f ca="1">OFFSET(ORÇAMENTO!O$15,ROW(E207)-ROW(E$15),0)</f>
        <v>3.6.10.</v>
      </c>
      <c r="F207" s="207" t="str">
        <f ca="1">OFFSET(ORÇAMENTO!R$15,ROW(F207)-ROW(F$15),0)</f>
        <v>RALO SIFONADO, PVC, DN 100 X 40 MM, JUNTA SOLDÁVEL, FORNECIDO E INSTALADO EM RAMAL DE DESCARGA OU EM RAMAL DE ESGOTO SANITÁRIO. AF_12/2014</v>
      </c>
      <c r="G207" s="208" t="str">
        <f ca="1">IF($D207&lt;&gt;"Serviço","",OFFSET(ORÇAMENTO!S$15,ROW(G207)-ROW(G$15),0))</f>
        <v>UN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1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19</v>
      </c>
      <c r="N207" s="212" t="str">
        <f ca="1">IF($D207&lt;&gt;"Serviço","",IF(AUTOEVENTO="Manual",IF($A207=0,"&lt;-- defina o número do agrupador",OFFSET(EVENTOS!$D$14,$A207,0)),OFFSET($F$15,$A207,0)))</f>
        <v>(INSTALAÇÕES HIDRAULICAS)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182</v>
      </c>
      <c r="B208" s="9" t="str">
        <f ca="1">OFFSET(ORÇAMENTO!C$15,ROW(B208)-ROW(B$15),0)</f>
        <v>S</v>
      </c>
      <c r="C208" s="9" t="str">
        <f ca="1">OFFSET(ORÇAMENTO!L$15,ROW(C208)-ROW(C$15),0)</f>
        <v>F</v>
      </c>
      <c r="D208" s="146" t="str">
        <f ca="1">OFFSET(ORÇAMENTO!N$15,ROW(D208)-ROW(D$15),0)</f>
        <v>Serviço</v>
      </c>
      <c r="E208" s="206" t="str">
        <f ca="1">OFFSET(ORÇAMENTO!O$15,ROW(E208)-ROW(E$15),0)</f>
        <v>3.6.11.</v>
      </c>
      <c r="F208" s="207" t="str">
        <f ca="1">OFFSET(ORÇAMENTO!R$15,ROW(F208)-ROW(F$15),0)</f>
        <v>CAIXA D'AGUA EM POLIETILENO 500 LITROS, COM TAMPA</v>
      </c>
      <c r="G208" s="208" t="str">
        <f ca="1">IF($D208&lt;&gt;"Serviço","",OFFSET(ORÇAMENTO!S$15,ROW(G208)-ROW(G$15),0))</f>
        <v xml:space="preserve">UN    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1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19</v>
      </c>
      <c r="N208" s="212" t="str">
        <f ca="1">IF($D208&lt;&gt;"Serviço","",IF(AUTOEVENTO="Manual",IF($A208=0,"&lt;-- defina o número do agrupador",OFFSET(EVENTOS!$D$14,$A208,0)),OFFSET($F$15,$A208,0)))</f>
        <v>(INSTALAÇÕES HIDRAULICAS)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182</v>
      </c>
      <c r="B209" s="9" t="str">
        <f ca="1">OFFSET(ORÇAMENTO!C$15,ROW(B209)-ROW(B$15),0)</f>
        <v>S</v>
      </c>
      <c r="C209" s="9" t="str">
        <f ca="1">OFFSET(ORÇAMENTO!L$15,ROW(C209)-ROW(C$15),0)</f>
        <v>F</v>
      </c>
      <c r="D209" s="146" t="str">
        <f ca="1">OFFSET(ORÇAMENTO!N$15,ROW(D209)-ROW(D$15),0)</f>
        <v>Serviço</v>
      </c>
      <c r="E209" s="206" t="str">
        <f ca="1">OFFSET(ORÇAMENTO!O$15,ROW(E209)-ROW(E$15),0)</f>
        <v>3.6.12.</v>
      </c>
      <c r="F209" s="207" t="str">
        <f ca="1">OFFSET(ORÇAMENTO!R$15,ROW(F209)-ROW(F$15),0)</f>
        <v>CAIXA DE GORDURA SIMPLES, CIRCULAR, EM CONCRETO PRÉ-MOLDADO, DIÂMETRO INTERNO = 0,4 M, ALTURA INTERNA = 0,4 M. AF_05/2018</v>
      </c>
      <c r="G209" s="208" t="str">
        <f ca="1">IF($D209&lt;&gt;"Serviço","",OFFSET(ORÇAMENTO!S$15,ROW(G209)-ROW(G$15),0))</f>
        <v>UN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1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19</v>
      </c>
      <c r="N209" s="212" t="str">
        <f ca="1">IF($D209&lt;&gt;"Serviço","",IF(AUTOEVENTO="Manual",IF($A209=0,"&lt;-- defina o número do agrupador",OFFSET(EVENTOS!$D$14,$A209,0)),OFFSET($F$15,$A209,0)))</f>
        <v>(INSTALAÇÕES HIDRAULICAS)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182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19</v>
      </c>
      <c r="N210" s="212" t="str">
        <f ca="1">IF($D210&lt;&gt;"Serviço","",IF(AUTOEVENTO="Manual",IF($A210=0,"&lt;-- defina o número do agrupador",OFFSET(EVENTOS!$D$14,$A210,0)),OFFSET($F$15,$A210,0)))</f>
        <v>(INSTALAÇÕES HIDRAULICAS)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182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19</v>
      </c>
      <c r="N211" s="212" t="str">
        <f ca="1">IF($D211&lt;&gt;"Serviço","",IF(AUTOEVENTO="Manual",IF($A211=0,"&lt;-- defina o número do agrupador",OFFSET(EVENTOS!$D$14,$A211,0)),OFFSET($F$15,$A211,0)))</f>
        <v>(INSTALAÇÕES HIDRAULICAS)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197.</v>
      </c>
      <c r="B212" s="9">
        <f ca="1">OFFSET(ORÇAMENTO!C$15,ROW(B212)-ROW(B$15),0)</f>
        <v>2</v>
      </c>
      <c r="C212" s="9" t="str">
        <f ca="1">OFFSET(ORÇAMENTO!L$15,ROW(C212)-ROW(C$15),0)</f>
        <v>F</v>
      </c>
      <c r="D212" s="146" t="str">
        <f ca="1">OFFSET(ORÇAMENTO!N$15,ROW(D212)-ROW(D$15),0)</f>
        <v>Nível 2</v>
      </c>
      <c r="E212" s="206" t="str">
        <f ca="1">OFFSET(ORÇAMENTO!O$15,ROW(E212)-ROW(E$15),0)</f>
        <v>3.7.</v>
      </c>
      <c r="F212" s="207" t="str">
        <f ca="1">OFFSET(ORÇAMENTO!R$15,ROW(F212)-ROW(F$15),0)</f>
        <v>(SAGUÃO)</v>
      </c>
      <c r="G212" s="208" t="str">
        <f ca="1">IF($D212&lt;&gt;"Serviço","",OFFSET(ORÇAMENTO!S$15,ROW(G212)-ROW(G$15),0))</f>
        <v/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 t="str">
        <f ca="1">IF($D212&lt;&gt;"Serviço","",IF(AUTOEVENTO="manual",$A212,IF(ISERROR(MATCH($A212,$A$15:OFFSET($A212,-1,0),0)),MAX($M$15:OFFSET(M212,-1,0))+1,INDEX($M$15:OFFSET(M212,-1,0),MATCH($A212,$A$15:OFFSET($A212,-1,0),0)))))</f>
        <v/>
      </c>
      <c r="N212" s="212" t="str">
        <f ca="1">IF($D212&lt;&gt;"Serviço","",IF(AUTOEVENTO="Manual",IF($A212=0,"&lt;-- defina o número do agrupador",OFFSET(EVENTOS!$D$14,$A212,0)),OFFSET($F$15,$A212,0)))</f>
        <v/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0</v>
      </c>
      <c r="AN212" s="216">
        <f ca="1">IF($D212&lt;&gt;"Serviço",0,IF(AND(AUTOEVENTO="Manual",$M212=1),0,IF(OFFSET(CRONOPLE!$F$14,$M212,AN$13)="",10^12,OFFSET(CRONOPLE!$F$14,$M212,AN$13))))</f>
        <v>0</v>
      </c>
      <c r="AO212" s="216">
        <f ca="1">IF($D212&lt;&gt;"Serviço",0,IF(AND(AUTOEVENTO="Manual",$M212=1),0,IF(OFFSET(CRONOPLE!$F$14,$M212,AO$13)="",10^12,OFFSET(CRONOPLE!$F$14,$M212,AO$13))))</f>
        <v>0</v>
      </c>
      <c r="AP212" s="216">
        <f ca="1">IF($D212&lt;&gt;"Serviço",0,IF(AND(AUTOEVENTO="Manual",$M212=1),0,IF(OFFSET(CRONOPLE!$F$14,$M212,AP$13)="",10^12,OFFSET(CRONOPLE!$F$14,$M212,AP$13))))</f>
        <v>0</v>
      </c>
      <c r="AQ212" s="216">
        <f ca="1">IF($D212&lt;&gt;"Serviço",0,IF(AND(AUTOEVENTO="Manual",$M212=1),0,IF(OFFSET(CRONOPLE!$F$14,$M212,AQ$13)="",10^12,OFFSET(CRONOPLE!$F$14,$M212,AQ$13))))</f>
        <v>0</v>
      </c>
      <c r="AR212" s="216">
        <f ca="1">IF($D212&lt;&gt;"Serviço",0,IF(AND(AUTOEVENTO="Manual",$M212=1),0,IF(OFFSET(CRONOPLE!$F$14,$M212,AR$13)="",10^12,OFFSET(CRONOPLE!$F$14,$M212,AR$13))))</f>
        <v>0</v>
      </c>
      <c r="AS212" s="216">
        <f ca="1">IF($D212&lt;&gt;"Serviço",0,IF(AND(AUTOEVENTO="Manual",$M212=1),0,IF(OFFSET(CRONOPLE!$F$14,$M212,AS$13)="",10^12,OFFSET(CRONOPLE!$F$14,$M212,AS$13))))</f>
        <v>0</v>
      </c>
      <c r="AT212" s="216">
        <f ca="1">IF($D212&lt;&gt;"Serviço",0,IF(AND(AUTOEVENTO="Manual",$M212=1),0,IF(OFFSET(CRONOPLE!$F$14,$M212,AT$13)="",10^12,OFFSET(CRONOPLE!$F$14,$M212,AT$13))))</f>
        <v>0</v>
      </c>
      <c r="AU212" s="216">
        <f ca="1">IF($D212&lt;&gt;"Serviço",0,IF(AND(AUTOEVENTO="Manual",$M212=1),0,IF(OFFSET(CRONOPLE!$F$14,$M212,AU$13)="",10^12,OFFSET(CRONOPLE!$F$14,$M212,AU$13))))</f>
        <v>0</v>
      </c>
      <c r="AV212" s="216">
        <f ca="1">IF($D212&lt;&gt;"Serviço",0,IF(AND(AUTOEVENTO="Manual",$M212=1),0,IF(OFFSET(CRONOPLE!$F$14,$M212,AV$13)="",10^12,OFFSET(CRONOPLE!$F$14,$M212,AV$13))))</f>
        <v>0</v>
      </c>
      <c r="AX212" s="217">
        <f ca="1">IF($D212&lt;&gt;"Serviço",0,IF(OR(AND(AUTOEVENTO="Manual",$M212=1),$M212&gt;(ROW(PLE.lastrow)-ROW(PLE.firstrow))),0,IF(OFFSET(PLE!$G$14,$M212,AX$13)="",10^12,OFFSET(PLE!$G$14,$M212,AX$13))))</f>
        <v>0</v>
      </c>
      <c r="AY212" s="217">
        <f ca="1">IF($D212&lt;&gt;"Serviço",0,IF(OR(AND(AUTOEVENTO="Manual",$M212=1),$M212&gt;(ROW(PLE.lastrow)-ROW(PLE.firstrow))),0,IF(OFFSET(PLE!$G$14,$M212,AY$13)="",10^12,OFFSET(PLE!$G$14,$M212,AY$13))))</f>
        <v>0</v>
      </c>
      <c r="AZ212" s="217">
        <f ca="1">IF($D212&lt;&gt;"Serviço",0,IF(OR(AND(AUTOEVENTO="Manual",$M212=1),$M212&gt;(ROW(PLE.lastrow)-ROW(PLE.firstrow))),0,IF(OFFSET(PLE!$G$14,$M212,AZ$13)="",10^12,OFFSET(PLE!$G$14,$M212,AZ$13))))</f>
        <v>0</v>
      </c>
      <c r="BA212" s="217">
        <f ca="1">IF($D212&lt;&gt;"Serviço",0,IF(OR(AND(AUTOEVENTO="Manual",$M212=1),$M212&gt;(ROW(PLE.lastrow)-ROW(PLE.firstrow))),0,IF(OFFSET(PLE!$G$14,$M212,BA$13)="",10^12,OFFSET(PLE!$G$14,$M212,BA$13))))</f>
        <v>0</v>
      </c>
      <c r="BB212" s="217">
        <f ca="1">IF($D212&lt;&gt;"Serviço",0,IF(OR(AND(AUTOEVENTO="Manual",$M212=1),$M212&gt;(ROW(PLE.lastrow)-ROW(PLE.firstrow))),0,IF(OFFSET(PLE!$G$14,$M212,BB$13)="",10^12,OFFSET(PLE!$G$14,$M212,BB$13))))</f>
        <v>0</v>
      </c>
      <c r="BC212" s="217">
        <f ca="1">IF($D212&lt;&gt;"Serviço",0,IF(OR(AND(AUTOEVENTO="Manual",$M212=1),$M212&gt;(ROW(PLE.lastrow)-ROW(PLE.firstrow))),0,IF(OFFSET(PLE!$G$14,$M212,BC$13)="",10^12,OFFSET(PLE!$G$14,$M212,BC$13))))</f>
        <v>0</v>
      </c>
      <c r="BD212" s="217">
        <f ca="1">IF($D212&lt;&gt;"Serviço",0,IF(OR(AND(AUTOEVENTO="Manual",$M212=1),$M212&gt;(ROW(PLE.lastrow)-ROW(PLE.firstrow))),0,IF(OFFSET(PLE!$G$14,$M212,BD$13)="",10^12,OFFSET(PLE!$G$14,$M212,BD$13))))</f>
        <v>0</v>
      </c>
      <c r="BE212" s="217">
        <f ca="1">IF($D212&lt;&gt;"Serviço",0,IF(OR(AND(AUTOEVENTO="Manual",$M212=1),$M212&gt;(ROW(PLE.lastrow)-ROW(PLE.firstrow))),0,IF(OFFSET(PLE!$G$14,$M212,BE$13)="",10^12,OFFSET(PLE!$G$14,$M212,BE$13))))</f>
        <v>0</v>
      </c>
      <c r="BF212" s="217">
        <f ca="1">IF($D212&lt;&gt;"Serviço",0,IF(OR(AND(AUTOEVENTO="Manual",$M212=1),$M212&gt;(ROW(PLE.lastrow)-ROW(PLE.firstrow))),0,IF(OFFSET(PLE!$G$14,$M212,BF$13)="",10^12,OFFSET(PLE!$G$14,$M212,BF$13))))</f>
        <v>0</v>
      </c>
      <c r="BG212" s="217">
        <f ca="1">IF($D212&lt;&gt;"Serviço",0,IF(OR(AND(AUTOEVENTO="Manual",$M212=1),$M212&gt;(ROW(PLE.lastrow)-ROW(PLE.firstrow))),0,IF(OFFSET(PLE!$G$14,$M212,BG$13)="",10^12,OFFSET(PLE!$G$14,$M212,BG$13))))</f>
        <v>0</v>
      </c>
    </row>
    <row r="213" spans="1:59" ht="12.75" x14ac:dyDescent="0.2">
      <c r="A213" s="9" t="str">
        <f t="shared" ca="1" si="11"/>
        <v>197</v>
      </c>
      <c r="B213" s="9" t="str">
        <f ca="1">OFFSET(ORÇAMENTO!C$15,ROW(B213)-ROW(B$15),0)</f>
        <v>S</v>
      </c>
      <c r="C213" s="9" t="str">
        <f ca="1">OFFSET(ORÇAMENTO!L$15,ROW(C213)-ROW(C$15),0)</f>
        <v>F</v>
      </c>
      <c r="D213" s="146" t="str">
        <f ca="1">OFFSET(ORÇAMENTO!N$15,ROW(D213)-ROW(D$15),0)</f>
        <v>Serviço</v>
      </c>
      <c r="E213" s="206" t="str">
        <f ca="1">OFFSET(ORÇAMENTO!O$15,ROW(E213)-ROW(E$15),0)</f>
        <v>3.7.1.</v>
      </c>
      <c r="F213" s="207" t="str">
        <f ca="1">OFFSET(ORÇAMENTO!R$15,ROW(F213)-ROW(F$15),0)</f>
        <v>LAVATÓRIO/BEBEDOURO EM AÇO INÓX, e=0,8MM,  COM TRES TORNEIRAS DE PRESSÃO DE PAREDE,  100X50X35CM, COM SIFÃO, TUBULAÇÃO, FORNECIMENTO E INSTALAÇÃO</v>
      </c>
      <c r="G213" s="208" t="str">
        <f ca="1">IF($D213&lt;&gt;"Serviço","",OFFSET(ORÇAMENTO!S$15,ROW(G213)-ROW(G$15),0))</f>
        <v>UD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1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20</v>
      </c>
      <c r="N213" s="212" t="str">
        <f ca="1">IF($D213&lt;&gt;"Serviço","",IF(AUTOEVENTO="Manual",IF($A213=0,"&lt;-- defina o número do agrupador",OFFSET(EVENTOS!$D$14,$A213,0)),OFFSET($F$15,$A213,0)))</f>
        <v>(SAGUÃO)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197</v>
      </c>
      <c r="B214" s="9" t="str">
        <f ca="1">OFFSET(ORÇAMENTO!C$15,ROW(B214)-ROW(B$15),0)</f>
        <v>S</v>
      </c>
      <c r="C214" s="9" t="str">
        <f ca="1">OFFSET(ORÇAMENTO!L$15,ROW(C214)-ROW(C$15),0)</f>
        <v>F</v>
      </c>
      <c r="D214" s="146" t="str">
        <f ca="1">OFFSET(ORÇAMENTO!N$15,ROW(D214)-ROW(D$15),0)</f>
        <v>Serviço</v>
      </c>
      <c r="E214" s="206" t="str">
        <f ca="1">OFFSET(ORÇAMENTO!O$15,ROW(E214)-ROW(E$15),0)</f>
        <v>3.7.2.</v>
      </c>
      <c r="F214" s="207" t="str">
        <f ca="1">OFFSET(ORÇAMENTO!R$15,ROW(F214)-ROW(F$15),0)</f>
        <v>RASGO E FECHAMENTO EM PAREDE/PISO PARA TUBULAÇÃO DE AGUA FRIA 25CMM</v>
      </c>
      <c r="G214" s="208" t="str">
        <f ca="1">IF($D214&lt;&gt;"Serviço","",OFFSET(ORÇAMENTO!S$15,ROW(G214)-ROW(G$15),0))</f>
        <v>M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15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20</v>
      </c>
      <c r="N214" s="212" t="str">
        <f ca="1">IF($D214&lt;&gt;"Serviço","",IF(AUTOEVENTO="Manual",IF($A214=0,"&lt;-- defina o número do agrupador",OFFSET(EVENTOS!$D$14,$A214,0)),OFFSET($F$15,$A214,0)))</f>
        <v>(SAGUÃO)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197</v>
      </c>
      <c r="B215" s="9" t="str">
        <f ca="1">OFFSET(ORÇAMENTO!C$15,ROW(B215)-ROW(B$15),0)</f>
        <v>S</v>
      </c>
      <c r="C215" s="9" t="str">
        <f ca="1">OFFSET(ORÇAMENTO!L$15,ROW(C215)-ROW(C$15),0)</f>
        <v>F</v>
      </c>
      <c r="D215" s="146" t="str">
        <f ca="1">OFFSET(ORÇAMENTO!N$15,ROW(D215)-ROW(D$15),0)</f>
        <v>Serviço</v>
      </c>
      <c r="E215" s="206" t="str">
        <f ca="1">OFFSET(ORÇAMENTO!O$15,ROW(E215)-ROW(E$15),0)</f>
        <v>3.7.3.</v>
      </c>
      <c r="F215" s="207" t="str">
        <f ca="1">OFFSET(ORÇAMENTO!R$15,ROW(F215)-ROW(F$15),0)</f>
        <v>TUBO PVC, SOLDAVEL, DN 25 MM, AGUA FRIA (NBR-5648)</v>
      </c>
      <c r="G215" s="208" t="str">
        <f ca="1">IF($D215&lt;&gt;"Serviço","",OFFSET(ORÇAMENTO!S$15,ROW(G215)-ROW(G$15),0))</f>
        <v xml:space="preserve">M     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15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20</v>
      </c>
      <c r="N215" s="212" t="str">
        <f ca="1">IF($D215&lt;&gt;"Serviço","",IF(AUTOEVENTO="Manual",IF($A215=0,"&lt;-- defina o número do agrupador",OFFSET(EVENTOS!$D$14,$A215,0)),OFFSET($F$15,$A215,0)))</f>
        <v>(SAGUÃO)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201.</v>
      </c>
      <c r="B216" s="9">
        <f ca="1">OFFSET(ORÇAMENTO!C$15,ROW(B216)-ROW(B$15),0)</f>
        <v>2</v>
      </c>
      <c r="C216" s="9" t="str">
        <f ca="1">OFFSET(ORÇAMENTO!L$15,ROW(C216)-ROW(C$15),0)</f>
        <v>F</v>
      </c>
      <c r="D216" s="146" t="str">
        <f ca="1">OFFSET(ORÇAMENTO!N$15,ROW(D216)-ROW(D$15),0)</f>
        <v>Nível 2</v>
      </c>
      <c r="E216" s="206" t="str">
        <f ca="1">OFFSET(ORÇAMENTO!O$15,ROW(E216)-ROW(E$15),0)</f>
        <v>3.8.</v>
      </c>
      <c r="F216" s="207" t="str">
        <f ca="1">OFFSET(ORÇAMENTO!R$15,ROW(F216)-ROW(F$15),0)</f>
        <v>(EXAUSTORES / TELAS MILIMETRICAS)</v>
      </c>
      <c r="G216" s="208" t="str">
        <f ca="1">IF($D216&lt;&gt;"Serviço","",OFFSET(ORÇAMENTO!S$15,ROW(G216)-ROW(G$15),0))</f>
        <v/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 t="str">
        <f ca="1">IF($D216&lt;&gt;"Serviço","",IF(AUTOEVENTO="manual",$A216,IF(ISERROR(MATCH($A216,$A$15:OFFSET($A216,-1,0),0)),MAX($M$15:OFFSET(M216,-1,0))+1,INDEX($M$15:OFFSET(M216,-1,0),MATCH($A216,$A$15:OFFSET($A216,-1,0),0)))))</f>
        <v/>
      </c>
      <c r="N216" s="212" t="str">
        <f ca="1">IF($D216&lt;&gt;"Serviço","",IF(AUTOEVENTO="Manual",IF($A216=0,"&lt;-- defina o número do agrupador",OFFSET(EVENTOS!$D$14,$A216,0)),OFFSET($F$15,$A216,0)))</f>
        <v/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0</v>
      </c>
      <c r="AN216" s="216">
        <f ca="1">IF($D216&lt;&gt;"Serviço",0,IF(AND(AUTOEVENTO="Manual",$M216=1),0,IF(OFFSET(CRONOPLE!$F$14,$M216,AN$13)="",10^12,OFFSET(CRONOPLE!$F$14,$M216,AN$13))))</f>
        <v>0</v>
      </c>
      <c r="AO216" s="216">
        <f ca="1">IF($D216&lt;&gt;"Serviço",0,IF(AND(AUTOEVENTO="Manual",$M216=1),0,IF(OFFSET(CRONOPLE!$F$14,$M216,AO$13)="",10^12,OFFSET(CRONOPLE!$F$14,$M216,AO$13))))</f>
        <v>0</v>
      </c>
      <c r="AP216" s="216">
        <f ca="1">IF($D216&lt;&gt;"Serviço",0,IF(AND(AUTOEVENTO="Manual",$M216=1),0,IF(OFFSET(CRONOPLE!$F$14,$M216,AP$13)="",10^12,OFFSET(CRONOPLE!$F$14,$M216,AP$13))))</f>
        <v>0</v>
      </c>
      <c r="AQ216" s="216">
        <f ca="1">IF($D216&lt;&gt;"Serviço",0,IF(AND(AUTOEVENTO="Manual",$M216=1),0,IF(OFFSET(CRONOPLE!$F$14,$M216,AQ$13)="",10^12,OFFSET(CRONOPLE!$F$14,$M216,AQ$13))))</f>
        <v>0</v>
      </c>
      <c r="AR216" s="216">
        <f ca="1">IF($D216&lt;&gt;"Serviço",0,IF(AND(AUTOEVENTO="Manual",$M216=1),0,IF(OFFSET(CRONOPLE!$F$14,$M216,AR$13)="",10^12,OFFSET(CRONOPLE!$F$14,$M216,AR$13))))</f>
        <v>0</v>
      </c>
      <c r="AS216" s="216">
        <f ca="1">IF($D216&lt;&gt;"Serviço",0,IF(AND(AUTOEVENTO="Manual",$M216=1),0,IF(OFFSET(CRONOPLE!$F$14,$M216,AS$13)="",10^12,OFFSET(CRONOPLE!$F$14,$M216,AS$13))))</f>
        <v>0</v>
      </c>
      <c r="AT216" s="216">
        <f ca="1">IF($D216&lt;&gt;"Serviço",0,IF(AND(AUTOEVENTO="Manual",$M216=1),0,IF(OFFSET(CRONOPLE!$F$14,$M216,AT$13)="",10^12,OFFSET(CRONOPLE!$F$14,$M216,AT$13))))</f>
        <v>0</v>
      </c>
      <c r="AU216" s="216">
        <f ca="1">IF($D216&lt;&gt;"Serviço",0,IF(AND(AUTOEVENTO="Manual",$M216=1),0,IF(OFFSET(CRONOPLE!$F$14,$M216,AU$13)="",10^12,OFFSET(CRONOPLE!$F$14,$M216,AU$13))))</f>
        <v>0</v>
      </c>
      <c r="AV216" s="216">
        <f ca="1">IF($D216&lt;&gt;"Serviço",0,IF(AND(AUTOEVENTO="Manual",$M216=1),0,IF(OFFSET(CRONOPLE!$F$14,$M216,AV$13)="",10^12,OFFSET(CRONOPLE!$F$14,$M216,AV$13))))</f>
        <v>0</v>
      </c>
      <c r="AX216" s="217">
        <f ca="1">IF($D216&lt;&gt;"Serviço",0,IF(OR(AND(AUTOEVENTO="Manual",$M216=1),$M216&gt;(ROW(PLE.lastrow)-ROW(PLE.firstrow))),0,IF(OFFSET(PLE!$G$14,$M216,AX$13)="",10^12,OFFSET(PLE!$G$14,$M216,AX$13))))</f>
        <v>0</v>
      </c>
      <c r="AY216" s="217">
        <f ca="1">IF($D216&lt;&gt;"Serviço",0,IF(OR(AND(AUTOEVENTO="Manual",$M216=1),$M216&gt;(ROW(PLE.lastrow)-ROW(PLE.firstrow))),0,IF(OFFSET(PLE!$G$14,$M216,AY$13)="",10^12,OFFSET(PLE!$G$14,$M216,AY$13))))</f>
        <v>0</v>
      </c>
      <c r="AZ216" s="217">
        <f ca="1">IF($D216&lt;&gt;"Serviço",0,IF(OR(AND(AUTOEVENTO="Manual",$M216=1),$M216&gt;(ROW(PLE.lastrow)-ROW(PLE.firstrow))),0,IF(OFFSET(PLE!$G$14,$M216,AZ$13)="",10^12,OFFSET(PLE!$G$14,$M216,AZ$13))))</f>
        <v>0</v>
      </c>
      <c r="BA216" s="217">
        <f ca="1">IF($D216&lt;&gt;"Serviço",0,IF(OR(AND(AUTOEVENTO="Manual",$M216=1),$M216&gt;(ROW(PLE.lastrow)-ROW(PLE.firstrow))),0,IF(OFFSET(PLE!$G$14,$M216,BA$13)="",10^12,OFFSET(PLE!$G$14,$M216,BA$13))))</f>
        <v>0</v>
      </c>
      <c r="BB216" s="217">
        <f ca="1">IF($D216&lt;&gt;"Serviço",0,IF(OR(AND(AUTOEVENTO="Manual",$M216=1),$M216&gt;(ROW(PLE.lastrow)-ROW(PLE.firstrow))),0,IF(OFFSET(PLE!$G$14,$M216,BB$13)="",10^12,OFFSET(PLE!$G$14,$M216,BB$13))))</f>
        <v>0</v>
      </c>
      <c r="BC216" s="217">
        <f ca="1">IF($D216&lt;&gt;"Serviço",0,IF(OR(AND(AUTOEVENTO="Manual",$M216=1),$M216&gt;(ROW(PLE.lastrow)-ROW(PLE.firstrow))),0,IF(OFFSET(PLE!$G$14,$M216,BC$13)="",10^12,OFFSET(PLE!$G$14,$M216,BC$13))))</f>
        <v>0</v>
      </c>
      <c r="BD216" s="217">
        <f ca="1">IF($D216&lt;&gt;"Serviço",0,IF(OR(AND(AUTOEVENTO="Manual",$M216=1),$M216&gt;(ROW(PLE.lastrow)-ROW(PLE.firstrow))),0,IF(OFFSET(PLE!$G$14,$M216,BD$13)="",10^12,OFFSET(PLE!$G$14,$M216,BD$13))))</f>
        <v>0</v>
      </c>
      <c r="BE216" s="217">
        <f ca="1">IF($D216&lt;&gt;"Serviço",0,IF(OR(AND(AUTOEVENTO="Manual",$M216=1),$M216&gt;(ROW(PLE.lastrow)-ROW(PLE.firstrow))),0,IF(OFFSET(PLE!$G$14,$M216,BE$13)="",10^12,OFFSET(PLE!$G$14,$M216,BE$13))))</f>
        <v>0</v>
      </c>
      <c r="BF216" s="217">
        <f ca="1">IF($D216&lt;&gt;"Serviço",0,IF(OR(AND(AUTOEVENTO="Manual",$M216=1),$M216&gt;(ROW(PLE.lastrow)-ROW(PLE.firstrow))),0,IF(OFFSET(PLE!$G$14,$M216,BF$13)="",10^12,OFFSET(PLE!$G$14,$M216,BF$13))))</f>
        <v>0</v>
      </c>
      <c r="BG216" s="217">
        <f ca="1">IF($D216&lt;&gt;"Serviço",0,IF(OR(AND(AUTOEVENTO="Manual",$M216=1),$M216&gt;(ROW(PLE.lastrow)-ROW(PLE.firstrow))),0,IF(OFFSET(PLE!$G$14,$M216,BG$13)="",10^12,OFFSET(PLE!$G$14,$M216,BG$13))))</f>
        <v>0</v>
      </c>
    </row>
    <row r="217" spans="1:59" ht="25.5" x14ac:dyDescent="0.2">
      <c r="A217" s="9" t="str">
        <f t="shared" ca="1" si="11"/>
        <v>201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01 coifa aço inox 430, medindo: 1,20m x 1,00m x 0,60cm c/ exaustor de 0,40cm diâmetro, com 04 metros de dutos inox , -01suporte c/cantoneira alumínio, c/tela inox , medindo; 0,79x 2,24</v>
      </c>
      <c r="G217" s="208" t="str">
        <f ca="1">IF($D217&lt;&gt;"Serviço","",OFFSET(ORÇAMENTO!S$15,ROW(G217)-ROW(G$15),0))</f>
        <v>UNIDADE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21</v>
      </c>
      <c r="N217" s="212" t="str">
        <f ca="1">IF($D217&lt;&gt;"Serviço","",IF(AUTOEVENTO="Manual",IF($A217=0,"&lt;-- defina o número do agrupador",OFFSET(EVENTOS!$D$14,$A217,0)),OFFSET($F$15,$A217,0)))</f>
        <v>(EXAUSTORES / TELAS MILIMETRICAS)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25.5" x14ac:dyDescent="0.2">
      <c r="A218" s="9" t="str">
        <f t="shared" ca="1" si="11"/>
        <v>201</v>
      </c>
      <c r="B218" s="9" t="str">
        <f ca="1">OFFSET(ORÇAMENTO!C$15,ROW(B218)-ROW(B$15),0)</f>
        <v>S</v>
      </c>
      <c r="C218" s="9" t="str">
        <f ca="1">OFFSET(ORÇAMENTO!L$15,ROW(C218)-ROW(C$15),0)</f>
        <v>F</v>
      </c>
      <c r="D218" s="146" t="str">
        <f ca="1">OFFSET(ORÇAMENTO!N$15,ROW(D218)-ROW(D$15),0)</f>
        <v>Serviço</v>
      </c>
      <c r="E218" s="206" t="str">
        <f ca="1">OFFSET(ORÇAMENTO!O$15,ROW(E218)-ROW(E$15),0)</f>
        <v>3.8.1.</v>
      </c>
      <c r="F218" s="207" t="str">
        <f ca="1">OFFSET(ORÇAMENTO!R$15,ROW(F218)-ROW(F$15),0)</f>
        <v>KIT TELA MOSQUITEIRO EM PVC ,  COM MOLDURAS EM ALUMINIO METALON 100MMX50MM, ESPESSURA CHAPA 1,2MM, C/FIXAÇÕES, FECHAMENTO AUTOMÁTICO DE PORTAS- INSTALADA - CONFORME DETALHE EM PROJETO</v>
      </c>
      <c r="G218" s="208" t="str">
        <f ca="1">IF($D218&lt;&gt;"Serviço","",OFFSET(ORÇAMENTO!S$15,ROW(G218)-ROW(G$15),0))</f>
        <v>UNIDADE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19.12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21</v>
      </c>
      <c r="N218" s="212" t="str">
        <f ca="1">IF($D218&lt;&gt;"Serviço","",IF(AUTOEVENTO="Manual",IF($A218=0,"&lt;-- defina o número do agrupador",OFFSET(EVENTOS!$D$14,$A218,0)),OFFSET($F$15,$A218,0)))</f>
        <v>(EXAUSTORES / TELAS MILIMETRICAS)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25.5" x14ac:dyDescent="0.2">
      <c r="A219" s="9" t="str">
        <f t="shared" ca="1" si="11"/>
        <v>201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21</v>
      </c>
      <c r="N219" s="212" t="str">
        <f ca="1">IF($D219&lt;&gt;"Serviço","",IF(AUTOEVENTO="Manual",IF($A219=0,"&lt;-- defina o número do agrupador",OFFSET(EVENTOS!$D$14,$A219,0)),OFFSET($F$15,$A219,0)))</f>
        <v>(EXAUSTORES / TELAS MILIMETRICAS)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205.</v>
      </c>
      <c r="B220" s="9">
        <f ca="1">OFFSET(ORÇAMENTO!C$15,ROW(B220)-ROW(B$15),0)</f>
        <v>2</v>
      </c>
      <c r="C220" s="9" t="str">
        <f ca="1">OFFSET(ORÇAMENTO!L$15,ROW(C220)-ROW(C$15),0)</f>
        <v>F</v>
      </c>
      <c r="D220" s="146" t="str">
        <f ca="1">OFFSET(ORÇAMENTO!N$15,ROW(D220)-ROW(D$15),0)</f>
        <v>Nível 2</v>
      </c>
      <c r="E220" s="206" t="str">
        <f ca="1">OFFSET(ORÇAMENTO!O$15,ROW(E220)-ROW(E$15),0)</f>
        <v>3.9.</v>
      </c>
      <c r="F220" s="207" t="str">
        <f ca="1">OFFSET(ORÇAMENTO!R$15,ROW(F220)-ROW(F$15),0)</f>
        <v>(INSTALAÇÕES DE PREVENÇÃO CONTRA INCÊNDIO )</v>
      </c>
      <c r="G220" s="208" t="str">
        <f ca="1">IF($D220&lt;&gt;"Serviço","",OFFSET(ORÇAMENTO!S$15,ROW(G220)-ROW(G$15),0))</f>
        <v/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 t="str">
        <f ca="1">IF($D220&lt;&gt;"Serviço","",IF(AUTOEVENTO="manual",$A220,IF(ISERROR(MATCH($A220,$A$15:OFFSET($A220,-1,0),0)),MAX($M$15:OFFSET(M220,-1,0))+1,INDEX($M$15:OFFSET(M220,-1,0),MATCH($A220,$A$15:OFFSET($A220,-1,0),0)))))</f>
        <v/>
      </c>
      <c r="N220" s="212" t="str">
        <f ca="1">IF($D220&lt;&gt;"Serviço","",IF(AUTOEVENTO="Manual",IF($A220=0,"&lt;-- defina o número do agrupador",OFFSET(EVENTOS!$D$14,$A220,0)),OFFSET($F$15,$A220,0)))</f>
        <v/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0</v>
      </c>
      <c r="AN220" s="216">
        <f ca="1">IF($D220&lt;&gt;"Serviço",0,IF(AND(AUTOEVENTO="Manual",$M220=1),0,IF(OFFSET(CRONOPLE!$F$14,$M220,AN$13)="",10^12,OFFSET(CRONOPLE!$F$14,$M220,AN$13))))</f>
        <v>0</v>
      </c>
      <c r="AO220" s="216">
        <f ca="1">IF($D220&lt;&gt;"Serviço",0,IF(AND(AUTOEVENTO="Manual",$M220=1),0,IF(OFFSET(CRONOPLE!$F$14,$M220,AO$13)="",10^12,OFFSET(CRONOPLE!$F$14,$M220,AO$13))))</f>
        <v>0</v>
      </c>
      <c r="AP220" s="216">
        <f ca="1">IF($D220&lt;&gt;"Serviço",0,IF(AND(AUTOEVENTO="Manual",$M220=1),0,IF(OFFSET(CRONOPLE!$F$14,$M220,AP$13)="",10^12,OFFSET(CRONOPLE!$F$14,$M220,AP$13))))</f>
        <v>0</v>
      </c>
      <c r="AQ220" s="216">
        <f ca="1">IF($D220&lt;&gt;"Serviço",0,IF(AND(AUTOEVENTO="Manual",$M220=1),0,IF(OFFSET(CRONOPLE!$F$14,$M220,AQ$13)="",10^12,OFFSET(CRONOPLE!$F$14,$M220,AQ$13))))</f>
        <v>0</v>
      </c>
      <c r="AR220" s="216">
        <f ca="1">IF($D220&lt;&gt;"Serviço",0,IF(AND(AUTOEVENTO="Manual",$M220=1),0,IF(OFFSET(CRONOPLE!$F$14,$M220,AR$13)="",10^12,OFFSET(CRONOPLE!$F$14,$M220,AR$13))))</f>
        <v>0</v>
      </c>
      <c r="AS220" s="216">
        <f ca="1">IF($D220&lt;&gt;"Serviço",0,IF(AND(AUTOEVENTO="Manual",$M220=1),0,IF(OFFSET(CRONOPLE!$F$14,$M220,AS$13)="",10^12,OFFSET(CRONOPLE!$F$14,$M220,AS$13))))</f>
        <v>0</v>
      </c>
      <c r="AT220" s="216">
        <f ca="1">IF($D220&lt;&gt;"Serviço",0,IF(AND(AUTOEVENTO="Manual",$M220=1),0,IF(OFFSET(CRONOPLE!$F$14,$M220,AT$13)="",10^12,OFFSET(CRONOPLE!$F$14,$M220,AT$13))))</f>
        <v>0</v>
      </c>
      <c r="AU220" s="216">
        <f ca="1">IF($D220&lt;&gt;"Serviço",0,IF(AND(AUTOEVENTO="Manual",$M220=1),0,IF(OFFSET(CRONOPLE!$F$14,$M220,AU$13)="",10^12,OFFSET(CRONOPLE!$F$14,$M220,AU$13))))</f>
        <v>0</v>
      </c>
      <c r="AV220" s="216">
        <f ca="1">IF($D220&lt;&gt;"Serviço",0,IF(AND(AUTOEVENTO="Manual",$M220=1),0,IF(OFFSET(CRONOPLE!$F$14,$M220,AV$13)="",10^12,OFFSET(CRONOPLE!$F$14,$M220,AV$13))))</f>
        <v>0</v>
      </c>
      <c r="AX220" s="217">
        <f ca="1">IF($D220&lt;&gt;"Serviço",0,IF(OR(AND(AUTOEVENTO="Manual",$M220=1),$M220&gt;(ROW(PLE.lastrow)-ROW(PLE.firstrow))),0,IF(OFFSET(PLE!$G$14,$M220,AX$13)="",10^12,OFFSET(PLE!$G$14,$M220,AX$13))))</f>
        <v>0</v>
      </c>
      <c r="AY220" s="217">
        <f ca="1">IF($D220&lt;&gt;"Serviço",0,IF(OR(AND(AUTOEVENTO="Manual",$M220=1),$M220&gt;(ROW(PLE.lastrow)-ROW(PLE.firstrow))),0,IF(OFFSET(PLE!$G$14,$M220,AY$13)="",10^12,OFFSET(PLE!$G$14,$M220,AY$13))))</f>
        <v>0</v>
      </c>
      <c r="AZ220" s="217">
        <f ca="1">IF($D220&lt;&gt;"Serviço",0,IF(OR(AND(AUTOEVENTO="Manual",$M220=1),$M220&gt;(ROW(PLE.lastrow)-ROW(PLE.firstrow))),0,IF(OFFSET(PLE!$G$14,$M220,AZ$13)="",10^12,OFFSET(PLE!$G$14,$M220,AZ$13))))</f>
        <v>0</v>
      </c>
      <c r="BA220" s="217">
        <f ca="1">IF($D220&lt;&gt;"Serviço",0,IF(OR(AND(AUTOEVENTO="Manual",$M220=1),$M220&gt;(ROW(PLE.lastrow)-ROW(PLE.firstrow))),0,IF(OFFSET(PLE!$G$14,$M220,BA$13)="",10^12,OFFSET(PLE!$G$14,$M220,BA$13))))</f>
        <v>0</v>
      </c>
      <c r="BB220" s="217">
        <f ca="1">IF($D220&lt;&gt;"Serviço",0,IF(OR(AND(AUTOEVENTO="Manual",$M220=1),$M220&gt;(ROW(PLE.lastrow)-ROW(PLE.firstrow))),0,IF(OFFSET(PLE!$G$14,$M220,BB$13)="",10^12,OFFSET(PLE!$G$14,$M220,BB$13))))</f>
        <v>0</v>
      </c>
      <c r="BC220" s="217">
        <f ca="1">IF($D220&lt;&gt;"Serviço",0,IF(OR(AND(AUTOEVENTO="Manual",$M220=1),$M220&gt;(ROW(PLE.lastrow)-ROW(PLE.firstrow))),0,IF(OFFSET(PLE!$G$14,$M220,BC$13)="",10^12,OFFSET(PLE!$G$14,$M220,BC$13))))</f>
        <v>0</v>
      </c>
      <c r="BD220" s="217">
        <f ca="1">IF($D220&lt;&gt;"Serviço",0,IF(OR(AND(AUTOEVENTO="Manual",$M220=1),$M220&gt;(ROW(PLE.lastrow)-ROW(PLE.firstrow))),0,IF(OFFSET(PLE!$G$14,$M220,BD$13)="",10^12,OFFSET(PLE!$G$14,$M220,BD$13))))</f>
        <v>0</v>
      </c>
      <c r="BE220" s="217">
        <f ca="1">IF($D220&lt;&gt;"Serviço",0,IF(OR(AND(AUTOEVENTO="Manual",$M220=1),$M220&gt;(ROW(PLE.lastrow)-ROW(PLE.firstrow))),0,IF(OFFSET(PLE!$G$14,$M220,BE$13)="",10^12,OFFSET(PLE!$G$14,$M220,BE$13))))</f>
        <v>0</v>
      </c>
      <c r="BF220" s="217">
        <f ca="1">IF($D220&lt;&gt;"Serviço",0,IF(OR(AND(AUTOEVENTO="Manual",$M220=1),$M220&gt;(ROW(PLE.lastrow)-ROW(PLE.firstrow))),0,IF(OFFSET(PLE!$G$14,$M220,BF$13)="",10^12,OFFSET(PLE!$G$14,$M220,BF$13))))</f>
        <v>0</v>
      </c>
      <c r="BG220" s="217">
        <f ca="1">IF($D220&lt;&gt;"Serviço",0,IF(OR(AND(AUTOEVENTO="Manual",$M220=1),$M220&gt;(ROW(PLE.lastrow)-ROW(PLE.firstrow))),0,IF(OFFSET(PLE!$G$14,$M220,BG$13)="",10^12,OFFSET(PLE!$G$14,$M220,BG$13))))</f>
        <v>0</v>
      </c>
    </row>
    <row r="221" spans="1:59" ht="25.5" x14ac:dyDescent="0.2">
      <c r="A221" s="9" t="str">
        <f t="shared" ca="1" si="11"/>
        <v>205</v>
      </c>
      <c r="B221" s="9" t="str">
        <f ca="1">OFFSET(ORÇAMENTO!C$15,ROW(B221)-ROW(B$15),0)</f>
        <v>S</v>
      </c>
      <c r="C221" s="9" t="str">
        <f ca="1">OFFSET(ORÇAMENTO!L$15,ROW(C221)-ROW(C$15),0)</f>
        <v>F</v>
      </c>
      <c r="D221" s="146" t="str">
        <f ca="1">OFFSET(ORÇAMENTO!N$15,ROW(D221)-ROW(D$15),0)</f>
        <v>Serviço</v>
      </c>
      <c r="E221" s="206" t="str">
        <f ca="1">OFFSET(ORÇAMENTO!O$15,ROW(E221)-ROW(E$15),0)</f>
        <v>3.9.1.</v>
      </c>
      <c r="F221" s="207" t="str">
        <f ca="1">OFFSET(ORÇAMENTO!R$15,ROW(F221)-ROW(F$15),0)</f>
        <v>CENTRAL DE GLP 1,5X0,75 H:2,90 M, CONSTRUÍDO COM TUBULAÇÃO E CONEXÕES</v>
      </c>
      <c r="G221" s="208" t="str">
        <f ca="1">IF($D221&lt;&gt;"Serviço","",OFFSET(ORÇAMENTO!S$15,ROW(G221)-ROW(G$15),0))</f>
        <v>UNIDADE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1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22</v>
      </c>
      <c r="N221" s="212" t="str">
        <f ca="1">IF($D221&lt;&gt;"Serviço","",IF(AUTOEVENTO="Manual",IF($A221=0,"&lt;-- defina o número do agrupador",OFFSET(EVENTOS!$D$14,$A221,0)),OFFSET($F$15,$A221,0)))</f>
        <v>(INSTALAÇÕES DE PREVENÇÃO CONTRA INCÊNDIO 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207.</v>
      </c>
      <c r="B222" s="9">
        <f ca="1">OFFSET(ORÇAMENTO!C$15,ROW(B222)-ROW(B$15),0)</f>
        <v>1</v>
      </c>
      <c r="C222" s="9" t="str">
        <f ca="1">OFFSET(ORÇAMENTO!L$15,ROW(C222)-ROW(C$15),0)</f>
        <v>F</v>
      </c>
      <c r="D222" s="146" t="str">
        <f ca="1">OFFSET(ORÇAMENTO!N$15,ROW(D222)-ROW(D$15),0)</f>
        <v>Meta</v>
      </c>
      <c r="E222" s="206" t="str">
        <f ca="1">OFFSET(ORÇAMENTO!O$15,ROW(E222)-ROW(E$15),0)</f>
        <v>4.</v>
      </c>
      <c r="F222" s="207" t="str">
        <f ca="1">OFFSET(ORÇAMENTO!R$15,ROW(F222)-ROW(F$15),0)</f>
        <v>(BANHEIRO ADAPTADO )</v>
      </c>
      <c r="G222" s="208" t="str">
        <f ca="1">IF($D222&lt;&gt;"Serviço","",OFFSET(ORÇAMENTO!S$15,ROW(G222)-ROW(G$15),0))</f>
        <v/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 t="str">
        <f ca="1">IF($D222&lt;&gt;"Serviço","",IF(AUTOEVENTO="manual",$A222,IF(ISERROR(MATCH($A222,$A$15:OFFSET($A222,-1,0),0)),MAX($M$15:OFFSET(M222,-1,0))+1,INDEX($M$15:OFFSET(M222,-1,0),MATCH($A222,$A$15:OFFSET($A222,-1,0),0)))))</f>
        <v/>
      </c>
      <c r="N222" s="212" t="str">
        <f ca="1">IF($D222&lt;&gt;"Serviço","",IF(AUTOEVENTO="Manual",IF($A222=0,"&lt;-- defina o número do agrupador",OFFSET(EVENTOS!$D$14,$A222,0)),OFFSET($F$15,$A222,0)))</f>
        <v/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0</v>
      </c>
      <c r="AN222" s="216">
        <f ca="1">IF($D222&lt;&gt;"Serviço",0,IF(AND(AUTOEVENTO="Manual",$M222=1),0,IF(OFFSET(CRONOPLE!$F$14,$M222,AN$13)="",10^12,OFFSET(CRONOPLE!$F$14,$M222,AN$13))))</f>
        <v>0</v>
      </c>
      <c r="AO222" s="216">
        <f ca="1">IF($D222&lt;&gt;"Serviço",0,IF(AND(AUTOEVENTO="Manual",$M222=1),0,IF(OFFSET(CRONOPLE!$F$14,$M222,AO$13)="",10^12,OFFSET(CRONOPLE!$F$14,$M222,AO$13))))</f>
        <v>0</v>
      </c>
      <c r="AP222" s="216">
        <f ca="1">IF($D222&lt;&gt;"Serviço",0,IF(AND(AUTOEVENTO="Manual",$M222=1),0,IF(OFFSET(CRONOPLE!$F$14,$M222,AP$13)="",10^12,OFFSET(CRONOPLE!$F$14,$M222,AP$13))))</f>
        <v>0</v>
      </c>
      <c r="AQ222" s="216">
        <f ca="1">IF($D222&lt;&gt;"Serviço",0,IF(AND(AUTOEVENTO="Manual",$M222=1),0,IF(OFFSET(CRONOPLE!$F$14,$M222,AQ$13)="",10^12,OFFSET(CRONOPLE!$F$14,$M222,AQ$13))))</f>
        <v>0</v>
      </c>
      <c r="AR222" s="216">
        <f ca="1">IF($D222&lt;&gt;"Serviço",0,IF(AND(AUTOEVENTO="Manual",$M222=1),0,IF(OFFSET(CRONOPLE!$F$14,$M222,AR$13)="",10^12,OFFSET(CRONOPLE!$F$14,$M222,AR$13))))</f>
        <v>0</v>
      </c>
      <c r="AS222" s="216">
        <f ca="1">IF($D222&lt;&gt;"Serviço",0,IF(AND(AUTOEVENTO="Manual",$M222=1),0,IF(OFFSET(CRONOPLE!$F$14,$M222,AS$13)="",10^12,OFFSET(CRONOPLE!$F$14,$M222,AS$13))))</f>
        <v>0</v>
      </c>
      <c r="AT222" s="216">
        <f ca="1">IF($D222&lt;&gt;"Serviço",0,IF(AND(AUTOEVENTO="Manual",$M222=1),0,IF(OFFSET(CRONOPLE!$F$14,$M222,AT$13)="",10^12,OFFSET(CRONOPLE!$F$14,$M222,AT$13))))</f>
        <v>0</v>
      </c>
      <c r="AU222" s="216">
        <f ca="1">IF($D222&lt;&gt;"Serviço",0,IF(AND(AUTOEVENTO="Manual",$M222=1),0,IF(OFFSET(CRONOPLE!$F$14,$M222,AU$13)="",10^12,OFFSET(CRONOPLE!$F$14,$M222,AU$13))))</f>
        <v>0</v>
      </c>
      <c r="AV222" s="216">
        <f ca="1">IF($D222&lt;&gt;"Serviço",0,IF(AND(AUTOEVENTO="Manual",$M222=1),0,IF(OFFSET(CRONOPLE!$F$14,$M222,AV$13)="",10^12,OFFSET(CRONOPLE!$F$14,$M222,AV$13))))</f>
        <v>0</v>
      </c>
      <c r="AX222" s="217">
        <f ca="1">IF($D222&lt;&gt;"Serviço",0,IF(OR(AND(AUTOEVENTO="Manual",$M222=1),$M222&gt;(ROW(PLE.lastrow)-ROW(PLE.firstrow))),0,IF(OFFSET(PLE!$G$14,$M222,AX$13)="",10^12,OFFSET(PLE!$G$14,$M222,AX$13))))</f>
        <v>0</v>
      </c>
      <c r="AY222" s="217">
        <f ca="1">IF($D222&lt;&gt;"Serviço",0,IF(OR(AND(AUTOEVENTO="Manual",$M222=1),$M222&gt;(ROW(PLE.lastrow)-ROW(PLE.firstrow))),0,IF(OFFSET(PLE!$G$14,$M222,AY$13)="",10^12,OFFSET(PLE!$G$14,$M222,AY$13))))</f>
        <v>0</v>
      </c>
      <c r="AZ222" s="217">
        <f ca="1">IF($D222&lt;&gt;"Serviço",0,IF(OR(AND(AUTOEVENTO="Manual",$M222=1),$M222&gt;(ROW(PLE.lastrow)-ROW(PLE.firstrow))),0,IF(OFFSET(PLE!$G$14,$M222,AZ$13)="",10^12,OFFSET(PLE!$G$14,$M222,AZ$13))))</f>
        <v>0</v>
      </c>
      <c r="BA222" s="217">
        <f ca="1">IF($D222&lt;&gt;"Serviço",0,IF(OR(AND(AUTOEVENTO="Manual",$M222=1),$M222&gt;(ROW(PLE.lastrow)-ROW(PLE.firstrow))),0,IF(OFFSET(PLE!$G$14,$M222,BA$13)="",10^12,OFFSET(PLE!$G$14,$M222,BA$13))))</f>
        <v>0</v>
      </c>
      <c r="BB222" s="217">
        <f ca="1">IF($D222&lt;&gt;"Serviço",0,IF(OR(AND(AUTOEVENTO="Manual",$M222=1),$M222&gt;(ROW(PLE.lastrow)-ROW(PLE.firstrow))),0,IF(OFFSET(PLE!$G$14,$M222,BB$13)="",10^12,OFFSET(PLE!$G$14,$M222,BB$13))))</f>
        <v>0</v>
      </c>
      <c r="BC222" s="217">
        <f ca="1">IF($D222&lt;&gt;"Serviço",0,IF(OR(AND(AUTOEVENTO="Manual",$M222=1),$M222&gt;(ROW(PLE.lastrow)-ROW(PLE.firstrow))),0,IF(OFFSET(PLE!$G$14,$M222,BC$13)="",10^12,OFFSET(PLE!$G$14,$M222,BC$13))))</f>
        <v>0</v>
      </c>
      <c r="BD222" s="217">
        <f ca="1">IF($D222&lt;&gt;"Serviço",0,IF(OR(AND(AUTOEVENTO="Manual",$M222=1),$M222&gt;(ROW(PLE.lastrow)-ROW(PLE.firstrow))),0,IF(OFFSET(PLE!$G$14,$M222,BD$13)="",10^12,OFFSET(PLE!$G$14,$M222,BD$13))))</f>
        <v>0</v>
      </c>
      <c r="BE222" s="217">
        <f ca="1">IF($D222&lt;&gt;"Serviço",0,IF(OR(AND(AUTOEVENTO="Manual",$M222=1),$M222&gt;(ROW(PLE.lastrow)-ROW(PLE.firstrow))),0,IF(OFFSET(PLE!$G$14,$M222,BE$13)="",10^12,OFFSET(PLE!$G$14,$M222,BE$13))))</f>
        <v>0</v>
      </c>
      <c r="BF222" s="217">
        <f ca="1">IF($D222&lt;&gt;"Serviço",0,IF(OR(AND(AUTOEVENTO="Manual",$M222=1),$M222&gt;(ROW(PLE.lastrow)-ROW(PLE.firstrow))),0,IF(OFFSET(PLE!$G$14,$M222,BF$13)="",10^12,OFFSET(PLE!$G$14,$M222,BF$13))))</f>
        <v>0</v>
      </c>
      <c r="BG222" s="217">
        <f ca="1">IF($D222&lt;&gt;"Serviço",0,IF(OR(AND(AUTOEVENTO="Manual",$M222=1),$M222&gt;(ROW(PLE.lastrow)-ROW(PLE.firstrow))),0,IF(OFFSET(PLE!$G$14,$M222,BG$13)="",10^12,OFFSET(PLE!$G$14,$M222,BG$13))))</f>
        <v>0</v>
      </c>
    </row>
    <row r="223" spans="1:59" ht="12.75" x14ac:dyDescent="0.2">
      <c r="A223" s="9" t="str">
        <f t="shared" ca="1" si="11"/>
        <v>208.</v>
      </c>
      <c r="B223" s="9">
        <f ca="1">OFFSET(ORÇAMENTO!C$15,ROW(B223)-ROW(B$15),0)</f>
        <v>2</v>
      </c>
      <c r="C223" s="9" t="str">
        <f ca="1">OFFSET(ORÇAMENTO!L$15,ROW(C223)-ROW(C$15),0)</f>
        <v>F</v>
      </c>
      <c r="D223" s="146" t="str">
        <f ca="1">OFFSET(ORÇAMENTO!N$15,ROW(D223)-ROW(D$15),0)</f>
        <v>Nível 2</v>
      </c>
      <c r="E223" s="206" t="str">
        <f ca="1">OFFSET(ORÇAMENTO!O$15,ROW(E223)-ROW(E$15),0)</f>
        <v>4.1.</v>
      </c>
      <c r="F223" s="207" t="str">
        <f ca="1">OFFSET(ORÇAMENTO!R$15,ROW(F223)-ROW(F$15),0)</f>
        <v>(REVESTIMENTOS/ INSTALAÇÕES HIDRAULICAS)</v>
      </c>
      <c r="G223" s="208" t="str">
        <f ca="1">IF($D223&lt;&gt;"Serviço","",OFFSET(ORÇAMENTO!S$15,ROW(G223)-ROW(G$15),0))</f>
        <v/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 t="str">
        <f ca="1">IF($D223&lt;&gt;"Serviço","",IF(AUTOEVENTO="manual",$A223,IF(ISERROR(MATCH($A223,$A$15:OFFSET($A223,-1,0),0)),MAX($M$15:OFFSET(M223,-1,0))+1,INDEX($M$15:OFFSET(M223,-1,0),MATCH($A223,$A$15:OFFSET($A223,-1,0),0)))))</f>
        <v/>
      </c>
      <c r="N223" s="212" t="str">
        <f ca="1">IF($D223&lt;&gt;"Serviço","",IF(AUTOEVENTO="Manual",IF($A223=0,"&lt;-- defina o número do agrupador",OFFSET(EVENTOS!$D$14,$A223,0)),OFFSET($F$15,$A223,0)))</f>
        <v/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0</v>
      </c>
      <c r="AN223" s="216">
        <f ca="1">IF($D223&lt;&gt;"Serviço",0,IF(AND(AUTOEVENTO="Manual",$M223=1),0,IF(OFFSET(CRONOPLE!$F$14,$M223,AN$13)="",10^12,OFFSET(CRONOPLE!$F$14,$M223,AN$13))))</f>
        <v>0</v>
      </c>
      <c r="AO223" s="216">
        <f ca="1">IF($D223&lt;&gt;"Serviço",0,IF(AND(AUTOEVENTO="Manual",$M223=1),0,IF(OFFSET(CRONOPLE!$F$14,$M223,AO$13)="",10^12,OFFSET(CRONOPLE!$F$14,$M223,AO$13))))</f>
        <v>0</v>
      </c>
      <c r="AP223" s="216">
        <f ca="1">IF($D223&lt;&gt;"Serviço",0,IF(AND(AUTOEVENTO="Manual",$M223=1),0,IF(OFFSET(CRONOPLE!$F$14,$M223,AP$13)="",10^12,OFFSET(CRONOPLE!$F$14,$M223,AP$13))))</f>
        <v>0</v>
      </c>
      <c r="AQ223" s="216">
        <f ca="1">IF($D223&lt;&gt;"Serviço",0,IF(AND(AUTOEVENTO="Manual",$M223=1),0,IF(OFFSET(CRONOPLE!$F$14,$M223,AQ$13)="",10^12,OFFSET(CRONOPLE!$F$14,$M223,AQ$13))))</f>
        <v>0</v>
      </c>
      <c r="AR223" s="216">
        <f ca="1">IF($D223&lt;&gt;"Serviço",0,IF(AND(AUTOEVENTO="Manual",$M223=1),0,IF(OFFSET(CRONOPLE!$F$14,$M223,AR$13)="",10^12,OFFSET(CRONOPLE!$F$14,$M223,AR$13))))</f>
        <v>0</v>
      </c>
      <c r="AS223" s="216">
        <f ca="1">IF($D223&lt;&gt;"Serviço",0,IF(AND(AUTOEVENTO="Manual",$M223=1),0,IF(OFFSET(CRONOPLE!$F$14,$M223,AS$13)="",10^12,OFFSET(CRONOPLE!$F$14,$M223,AS$13))))</f>
        <v>0</v>
      </c>
      <c r="AT223" s="216">
        <f ca="1">IF($D223&lt;&gt;"Serviço",0,IF(AND(AUTOEVENTO="Manual",$M223=1),0,IF(OFFSET(CRONOPLE!$F$14,$M223,AT$13)="",10^12,OFFSET(CRONOPLE!$F$14,$M223,AT$13))))</f>
        <v>0</v>
      </c>
      <c r="AU223" s="216">
        <f ca="1">IF($D223&lt;&gt;"Serviço",0,IF(AND(AUTOEVENTO="Manual",$M223=1),0,IF(OFFSET(CRONOPLE!$F$14,$M223,AU$13)="",10^12,OFFSET(CRONOPLE!$F$14,$M223,AU$13))))</f>
        <v>0</v>
      </c>
      <c r="AV223" s="216">
        <f ca="1">IF($D223&lt;&gt;"Serviço",0,IF(AND(AUTOEVENTO="Manual",$M223=1),0,IF(OFFSET(CRONOPLE!$F$14,$M223,AV$13)="",10^12,OFFSET(CRONOPLE!$F$14,$M223,AV$13))))</f>
        <v>0</v>
      </c>
      <c r="AX223" s="217">
        <f ca="1">IF($D223&lt;&gt;"Serviço",0,IF(OR(AND(AUTOEVENTO="Manual",$M223=1),$M223&gt;(ROW(PLE.lastrow)-ROW(PLE.firstrow))),0,IF(OFFSET(PLE!$G$14,$M223,AX$13)="",10^12,OFFSET(PLE!$G$14,$M223,AX$13))))</f>
        <v>0</v>
      </c>
      <c r="AY223" s="217">
        <f ca="1">IF($D223&lt;&gt;"Serviço",0,IF(OR(AND(AUTOEVENTO="Manual",$M223=1),$M223&gt;(ROW(PLE.lastrow)-ROW(PLE.firstrow))),0,IF(OFFSET(PLE!$G$14,$M223,AY$13)="",10^12,OFFSET(PLE!$G$14,$M223,AY$13))))</f>
        <v>0</v>
      </c>
      <c r="AZ223" s="217">
        <f ca="1">IF($D223&lt;&gt;"Serviço",0,IF(OR(AND(AUTOEVENTO="Manual",$M223=1),$M223&gt;(ROW(PLE.lastrow)-ROW(PLE.firstrow))),0,IF(OFFSET(PLE!$G$14,$M223,AZ$13)="",10^12,OFFSET(PLE!$G$14,$M223,AZ$13))))</f>
        <v>0</v>
      </c>
      <c r="BA223" s="217">
        <f ca="1">IF($D223&lt;&gt;"Serviço",0,IF(OR(AND(AUTOEVENTO="Manual",$M223=1),$M223&gt;(ROW(PLE.lastrow)-ROW(PLE.firstrow))),0,IF(OFFSET(PLE!$G$14,$M223,BA$13)="",10^12,OFFSET(PLE!$G$14,$M223,BA$13))))</f>
        <v>0</v>
      </c>
      <c r="BB223" s="217">
        <f ca="1">IF($D223&lt;&gt;"Serviço",0,IF(OR(AND(AUTOEVENTO="Manual",$M223=1),$M223&gt;(ROW(PLE.lastrow)-ROW(PLE.firstrow))),0,IF(OFFSET(PLE!$G$14,$M223,BB$13)="",10^12,OFFSET(PLE!$G$14,$M223,BB$13))))</f>
        <v>0</v>
      </c>
      <c r="BC223" s="217">
        <f ca="1">IF($D223&lt;&gt;"Serviço",0,IF(OR(AND(AUTOEVENTO="Manual",$M223=1),$M223&gt;(ROW(PLE.lastrow)-ROW(PLE.firstrow))),0,IF(OFFSET(PLE!$G$14,$M223,BC$13)="",10^12,OFFSET(PLE!$G$14,$M223,BC$13))))</f>
        <v>0</v>
      </c>
      <c r="BD223" s="217">
        <f ca="1">IF($D223&lt;&gt;"Serviço",0,IF(OR(AND(AUTOEVENTO="Manual",$M223=1),$M223&gt;(ROW(PLE.lastrow)-ROW(PLE.firstrow))),0,IF(OFFSET(PLE!$G$14,$M223,BD$13)="",10^12,OFFSET(PLE!$G$14,$M223,BD$13))))</f>
        <v>0</v>
      </c>
      <c r="BE223" s="217">
        <f ca="1">IF($D223&lt;&gt;"Serviço",0,IF(OR(AND(AUTOEVENTO="Manual",$M223=1),$M223&gt;(ROW(PLE.lastrow)-ROW(PLE.firstrow))),0,IF(OFFSET(PLE!$G$14,$M223,BE$13)="",10^12,OFFSET(PLE!$G$14,$M223,BE$13))))</f>
        <v>0</v>
      </c>
      <c r="BF223" s="217">
        <f ca="1">IF($D223&lt;&gt;"Serviço",0,IF(OR(AND(AUTOEVENTO="Manual",$M223=1),$M223&gt;(ROW(PLE.lastrow)-ROW(PLE.firstrow))),0,IF(OFFSET(PLE!$G$14,$M223,BF$13)="",10^12,OFFSET(PLE!$G$14,$M223,BF$13))))</f>
        <v>0</v>
      </c>
      <c r="BG223" s="217">
        <f ca="1">IF($D223&lt;&gt;"Serviço",0,IF(OR(AND(AUTOEVENTO="Manual",$M223=1),$M223&gt;(ROW(PLE.lastrow)-ROW(PLE.firstrow))),0,IF(OFFSET(PLE!$G$14,$M223,BG$13)="",10^12,OFFSET(PLE!$G$14,$M223,BG$13))))</f>
        <v>0</v>
      </c>
    </row>
    <row r="224" spans="1:59" ht="25.5" x14ac:dyDescent="0.2">
      <c r="A224" s="9" t="str">
        <f t="shared" ca="1" si="11"/>
        <v>208</v>
      </c>
      <c r="B224" s="9" t="str">
        <f ca="1">OFFSET(ORÇAMENTO!C$15,ROW(B224)-ROW(B$15),0)</f>
        <v>S</v>
      </c>
      <c r="C224" s="9" t="str">
        <f ca="1">OFFSET(ORÇAMENTO!L$15,ROW(C224)-ROW(C$15),0)</f>
        <v>F</v>
      </c>
      <c r="D224" s="146" t="str">
        <f ca="1">OFFSET(ORÇAMENTO!N$15,ROW(D224)-ROW(D$15),0)</f>
        <v>Serviço</v>
      </c>
      <c r="E224" s="206" t="str">
        <f ca="1">OFFSET(ORÇAMENTO!O$15,ROW(E224)-ROW(E$15),0)</f>
        <v>4.1.1.</v>
      </c>
      <c r="F224" s="207" t="str">
        <f ca="1">OFFSET(ORÇAMENTO!R$15,ROW(F224)-ROW(F$15),0)</f>
        <v>CONTRAPISO EM ARGAMASSA TRAÇO 1:4 (CIMENTO E AREIA), PREPARO MECÂNICO COM BETONEIRA 400 L, APLICADO EM ÁREAS SECAS SOBRE LAJE, NÃO ADERIDO, ESPESSURA 6CM. AF_06/2014</v>
      </c>
      <c r="G224" s="208" t="str">
        <f ca="1">IF($D224&lt;&gt;"Serviço","",OFFSET(ORÇAMENTO!S$15,ROW(G224)-ROW(G$15),0))</f>
        <v>M2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2.57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23</v>
      </c>
      <c r="N224" s="212" t="str">
        <f ca="1">IF($D224&lt;&gt;"Serviço","",IF(AUTOEVENTO="Manual",IF($A224=0,"&lt;-- defina o número do agrupador",OFFSET(EVENTOS!$D$14,$A224,0)),OFFSET($F$15,$A224,0)))</f>
        <v>(REVESTIMENTOS/ INSTALAÇÕES HIDRAULICAS)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25.5" x14ac:dyDescent="0.2">
      <c r="A225" s="9" t="str">
        <f t="shared" ca="1" si="11"/>
        <v>208</v>
      </c>
      <c r="B225" s="9" t="str">
        <f ca="1">OFFSET(ORÇAMENTO!C$15,ROW(B225)-ROW(B$15),0)</f>
        <v>S</v>
      </c>
      <c r="C225" s="9" t="str">
        <f ca="1">OFFSET(ORÇAMENTO!L$15,ROW(C225)-ROW(C$15),0)</f>
        <v>F</v>
      </c>
      <c r="D225" s="146" t="str">
        <f ca="1">OFFSET(ORÇAMENTO!N$15,ROW(D225)-ROW(D$15),0)</f>
        <v>Serviço</v>
      </c>
      <c r="E225" s="206" t="str">
        <f ca="1">OFFSET(ORÇAMENTO!O$15,ROW(E225)-ROW(E$15),0)</f>
        <v>4.1.2.</v>
      </c>
      <c r="F225" s="207" t="str">
        <f ca="1">OFFSET(ORÇAMENTO!R$15,ROW(F225)-ROW(F$15),0)</f>
        <v>REVESTIMENTO CERÂMICO PARA PAREDES INTERNAS COM PLACAS TIPO ESMALTADA EXTRA DE DIMENSÕES 20X20 CM APLICADAS EM AMBIENTES DE ÁREA MENOR QUE 5 M² A MEIA ALTURA DAS PAREDES. AF_06/2014</v>
      </c>
      <c r="G225" s="208" t="str">
        <f ca="1">IF($D225&lt;&gt;"Serviço","",OFFSET(ORÇAMENTO!S$15,ROW(G225)-ROW(G$15),0))</f>
        <v>M2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16.11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23</v>
      </c>
      <c r="N225" s="212" t="str">
        <f ca="1">IF($D225&lt;&gt;"Serviço","",IF(AUTOEVENTO="Manual",IF($A225=0,"&lt;-- defina o número do agrupador",OFFSET(EVENTOS!$D$14,$A225,0)),OFFSET($F$15,$A225,0)))</f>
        <v>(REVESTIMENTOS/ INSTALAÇÕES HIDRAULICAS)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25.5" x14ac:dyDescent="0.2">
      <c r="A226" s="9" t="str">
        <f t="shared" ca="1" si="11"/>
        <v>208</v>
      </c>
      <c r="B226" s="9" t="str">
        <f ca="1">OFFSET(ORÇAMENTO!C$15,ROW(B226)-ROW(B$15),0)</f>
        <v>S</v>
      </c>
      <c r="C226" s="9" t="str">
        <f ca="1">OFFSET(ORÇAMENTO!L$15,ROW(C226)-ROW(C$15),0)</f>
        <v>F</v>
      </c>
      <c r="D226" s="146" t="str">
        <f ca="1">OFFSET(ORÇAMENTO!N$15,ROW(D226)-ROW(D$15),0)</f>
        <v>Serviço</v>
      </c>
      <c r="E226" s="206" t="str">
        <f ca="1">OFFSET(ORÇAMENTO!O$15,ROW(E226)-ROW(E$15),0)</f>
        <v>4.1.3.</v>
      </c>
      <c r="F226" s="207" t="str">
        <f ca="1">OFFSET(ORÇAMENTO!R$15,ROW(F226)-ROW(F$15),0)</f>
        <v>REJUNTE COLORIDO, CIMENTICIO</v>
      </c>
      <c r="G226" s="208" t="str">
        <f ca="1">IF($D226&lt;&gt;"Serviço","",OFFSET(ORÇAMENTO!S$15,ROW(G226)-ROW(G$15),0))</f>
        <v xml:space="preserve">KG    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5.5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23</v>
      </c>
      <c r="N226" s="212" t="str">
        <f ca="1">IF($D226&lt;&gt;"Serviço","",IF(AUTOEVENTO="Manual",IF($A226=0,"&lt;-- defina o número do agrupador",OFFSET(EVENTOS!$D$14,$A226,0)),OFFSET($F$15,$A226,0)))</f>
        <v>(REVESTIMENTOS/ INSTALAÇÕES HIDRAULICAS)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25.5" x14ac:dyDescent="0.2">
      <c r="A227" s="9" t="str">
        <f t="shared" ca="1" si="11"/>
        <v>208</v>
      </c>
      <c r="B227" s="9" t="str">
        <f ca="1">OFFSET(ORÇAMENTO!C$15,ROW(B227)-ROW(B$15),0)</f>
        <v>S</v>
      </c>
      <c r="C227" s="9" t="str">
        <f ca="1">OFFSET(ORÇAMENTO!L$15,ROW(C227)-ROW(C$15),0)</f>
        <v>F</v>
      </c>
      <c r="D227" s="146" t="str">
        <f ca="1">OFFSET(ORÇAMENTO!N$15,ROW(D227)-ROW(D$15),0)</f>
        <v>Serviço</v>
      </c>
      <c r="E227" s="206" t="str">
        <f ca="1">OFFSET(ORÇAMENTO!O$15,ROW(E227)-ROW(E$15),0)</f>
        <v>4.1.4.</v>
      </c>
      <c r="F227" s="207" t="str">
        <f ca="1">OFFSET(ORÇAMENTO!R$15,ROW(F227)-ROW(F$15),0)</f>
        <v>(COMPOSIÇÃO REPRESENTATIVA) DO SERVIÇO DE REVESTIMENTO CERÂMICO PARA PISO COM PLACAS TIPO GRÉS DE DIMENSÕES 35X35 CM, PARA EDIFICAÇÃO HABITACIONAL UNIFAMILIAR (CASA) E EDIFICAÇÃO PÚBLICA PADRÃO. AF_11/2014</v>
      </c>
      <c r="G227" s="208" t="str">
        <f ca="1">IF($D227&lt;&gt;"Serviço","",OFFSET(ORÇAMENTO!S$15,ROW(G227)-ROW(G$15),0))</f>
        <v>M2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2.57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23</v>
      </c>
      <c r="N227" s="212" t="str">
        <f ca="1">IF($D227&lt;&gt;"Serviço","",IF(AUTOEVENTO="Manual",IF($A227=0,"&lt;-- defina o número do agrupador",OFFSET(EVENTOS!$D$14,$A227,0)),OFFSET($F$15,$A227,0)))</f>
        <v>(REVESTIMENTOS/ INSTALAÇÕES HIDRAULICAS)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25.5" x14ac:dyDescent="0.2">
      <c r="A228" s="9" t="str">
        <f t="shared" ca="1" si="11"/>
        <v>208</v>
      </c>
      <c r="B228" s="9" t="str">
        <f ca="1">OFFSET(ORÇAMENTO!C$15,ROW(B228)-ROW(B$15),0)</f>
        <v>S</v>
      </c>
      <c r="C228" s="9" t="str">
        <f ca="1">OFFSET(ORÇAMENTO!L$15,ROW(C228)-ROW(C$15),0)</f>
        <v>F</v>
      </c>
      <c r="D228" s="146" t="str">
        <f ca="1">OFFSET(ORÇAMENTO!N$15,ROW(D228)-ROW(D$15),0)</f>
        <v>Serviço</v>
      </c>
      <c r="E228" s="206" t="str">
        <f ca="1">OFFSET(ORÇAMENTO!O$15,ROW(E228)-ROW(E$15),0)</f>
        <v>4.1.5.</v>
      </c>
      <c r="F228" s="207" t="str">
        <f ca="1">OFFSET(ORÇAMENTO!R$15,ROW(F228)-ROW(F$15),0)</f>
        <v>DEMOLIÇÃO DE ALVENARIA DE BLOCO FURADO, DE FORMA MANUAL, SEM REAPROVEITAMENTO. AF_12/2017</v>
      </c>
      <c r="G228" s="208" t="str">
        <f ca="1">IF($D228&lt;&gt;"Serviço","",OFFSET(ORÇAMENTO!S$15,ROW(G228)-ROW(G$15),0))</f>
        <v>M3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0.5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23</v>
      </c>
      <c r="N228" s="212" t="str">
        <f ca="1">IF($D228&lt;&gt;"Serviço","",IF(AUTOEVENTO="Manual",IF($A228=0,"&lt;-- defina o número do agrupador",OFFSET(EVENTOS!$D$14,$A228,0)),OFFSET($F$15,$A228,0)))</f>
        <v>(REVESTIMENTOS/ INSTALAÇÕES HIDRAULICAS)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25.5" x14ac:dyDescent="0.2">
      <c r="A229" s="9" t="str">
        <f t="shared" ca="1" si="11"/>
        <v>208</v>
      </c>
      <c r="B229" s="9" t="str">
        <f ca="1">OFFSET(ORÇAMENTO!C$15,ROW(B229)-ROW(B$15),0)</f>
        <v>S</v>
      </c>
      <c r="C229" s="9" t="str">
        <f ca="1">OFFSET(ORÇAMENTO!L$15,ROW(C229)-ROW(C$15),0)</f>
        <v>F</v>
      </c>
      <c r="D229" s="146" t="str">
        <f ca="1">OFFSET(ORÇAMENTO!N$15,ROW(D229)-ROW(D$15),0)</f>
        <v>Serviço</v>
      </c>
      <c r="E229" s="206" t="str">
        <f ca="1">OFFSET(ORÇAMENTO!O$15,ROW(E229)-ROW(E$15),0)</f>
        <v>4.1.6.</v>
      </c>
      <c r="F229" s="207" t="str">
        <f ca="1">OFFSET(ORÇAMENTO!R$15,ROW(F229)-ROW(F$15),0)</f>
        <v>TUBO PVC, SERIE NORMAL, ESGOTO PREDIAL, DN 100 MM, FORNECIDO E INSTALADO EM RAMAL DE DESCARGA OU RAMAL DE ESGOTO SANITÁRIO. AF_12/2014</v>
      </c>
      <c r="G229" s="208" t="str">
        <f ca="1">IF($D229&lt;&gt;"Serviço","",OFFSET(ORÇAMENTO!S$15,ROW(G229)-ROW(G$15),0))</f>
        <v>M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12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23</v>
      </c>
      <c r="N229" s="212" t="str">
        <f ca="1">IF($D229&lt;&gt;"Serviço","",IF(AUTOEVENTO="Manual",IF($A229=0,"&lt;-- defina o número do agrupador",OFFSET(EVENTOS!$D$14,$A229,0)),OFFSET($F$15,$A229,0)))</f>
        <v>(REVESTIMENTOS/ INSTALAÇÕES HIDRAULICAS)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25.5" x14ac:dyDescent="0.2">
      <c r="A230" s="9" t="str">
        <f t="shared" ca="1" si="11"/>
        <v>208</v>
      </c>
      <c r="B230" s="9" t="str">
        <f ca="1">OFFSET(ORÇAMENTO!C$15,ROW(B230)-ROW(B$15),0)</f>
        <v>S</v>
      </c>
      <c r="C230" s="9" t="str">
        <f ca="1">OFFSET(ORÇAMENTO!L$15,ROW(C230)-ROW(C$15),0)</f>
        <v>F</v>
      </c>
      <c r="D230" s="146" t="str">
        <f ca="1">OFFSET(ORÇAMENTO!N$15,ROW(D230)-ROW(D$15),0)</f>
        <v>Serviço</v>
      </c>
      <c r="E230" s="206" t="str">
        <f ca="1">OFFSET(ORÇAMENTO!O$15,ROW(E230)-ROW(E$15),0)</f>
        <v>4.1.7.</v>
      </c>
      <c r="F230" s="207" t="str">
        <f ca="1">OFFSET(ORÇAMENTO!R$15,ROW(F230)-ROW(F$15),0)</f>
        <v>TUBO PVC, SOLDAVEL, DN 25 MM, AGUA FRIA (NBR-5648)</v>
      </c>
      <c r="G230" s="208" t="str">
        <f ca="1">IF($D230&lt;&gt;"Serviço","",OFFSET(ORÇAMENTO!S$15,ROW(G230)-ROW(G$15),0))</f>
        <v xml:space="preserve">M     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12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23</v>
      </c>
      <c r="N230" s="212" t="str">
        <f ca="1">IF($D230&lt;&gt;"Serviço","",IF(AUTOEVENTO="Manual",IF($A230=0,"&lt;-- defina o número do agrupador",OFFSET(EVENTOS!$D$14,$A230,0)),OFFSET($F$15,$A230,0)))</f>
        <v>(REVESTIMENTOS/ INSTALAÇÕES HIDRAULICAS)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25.5" x14ac:dyDescent="0.2">
      <c r="A231" s="9" t="str">
        <f t="shared" ca="1" si="11"/>
        <v>208</v>
      </c>
      <c r="B231" s="9" t="str">
        <f ca="1">OFFSET(ORÇAMENTO!C$15,ROW(B231)-ROW(B$15),0)</f>
        <v>S</v>
      </c>
      <c r="C231" s="9" t="str">
        <f ca="1">OFFSET(ORÇAMENTO!L$15,ROW(C231)-ROW(C$15),0)</f>
        <v>F</v>
      </c>
      <c r="D231" s="146" t="str">
        <f ca="1">OFFSET(ORÇAMENTO!N$15,ROW(D231)-ROW(D$15),0)</f>
        <v>Serviço</v>
      </c>
      <c r="E231" s="206" t="str">
        <f ca="1">OFFSET(ORÇAMENTO!O$15,ROW(E231)-ROW(E$15),0)</f>
        <v>4.1.8.</v>
      </c>
      <c r="F231" s="207" t="str">
        <f ca="1">OFFSET(ORÇAMENTO!R$15,ROW(F231)-ROW(F$15),0)</f>
        <v>TUBO PVC, SERIE NORMAL, ESGOTO PREDIAL, DN 50 MM, FORNECIDO E INSTALADO EM RAMAL DE DESCARGA OU RAMAL DE ESGOTO SANITÁRIO. AF_12/2014</v>
      </c>
      <c r="G231" s="208" t="str">
        <f ca="1">IF($D231&lt;&gt;"Serviço","",OFFSET(ORÇAMENTO!S$15,ROW(G231)-ROW(G$15),0))</f>
        <v>M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3.5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23</v>
      </c>
      <c r="N231" s="212" t="str">
        <f ca="1">IF($D231&lt;&gt;"Serviço","",IF(AUTOEVENTO="Manual",IF($A231=0,"&lt;-- defina o número do agrupador",OFFSET(EVENTOS!$D$14,$A231,0)),OFFSET($F$15,$A231,0)))</f>
        <v>(REVESTIMENTOS/ INSTALAÇÕES HIDRAULICAS)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25.5" x14ac:dyDescent="0.2">
      <c r="A232" s="9" t="str">
        <f t="shared" ca="1" si="11"/>
        <v>208</v>
      </c>
      <c r="B232" s="9" t="str">
        <f ca="1">OFFSET(ORÇAMENTO!C$15,ROW(B232)-ROW(B$15),0)</f>
        <v>S</v>
      </c>
      <c r="C232" s="9" t="str">
        <f ca="1">OFFSET(ORÇAMENTO!L$15,ROW(C232)-ROW(C$15),0)</f>
        <v>F</v>
      </c>
      <c r="D232" s="146" t="str">
        <f ca="1">OFFSET(ORÇAMENTO!N$15,ROW(D232)-ROW(D$15),0)</f>
        <v>Serviço</v>
      </c>
      <c r="E232" s="206" t="str">
        <f ca="1">OFFSET(ORÇAMENTO!O$15,ROW(E232)-ROW(E$15),0)</f>
        <v>4.1.9.</v>
      </c>
      <c r="F232" s="207" t="str">
        <f ca="1">OFFSET(ORÇAMENTO!R$15,ROW(F232)-ROW(F$15),0)</f>
        <v>CAIXA DE PASSAGEM 30X30X40 COM TAMPA E DRENO BRITA</v>
      </c>
      <c r="G232" s="208" t="str">
        <f ca="1">IF($D232&lt;&gt;"Serviço","",OFFSET(ORÇAMENTO!S$15,ROW(G232)-ROW(G$15),0))</f>
        <v>UN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2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23</v>
      </c>
      <c r="N232" s="212" t="str">
        <f ca="1">IF($D232&lt;&gt;"Serviço","",IF(AUTOEVENTO="Manual",IF($A232=0,"&lt;-- defina o número do agrupador",OFFSET(EVENTOS!$D$14,$A232,0)),OFFSET($F$15,$A232,0)))</f>
        <v>(REVESTIMENTOS/ INSTALAÇÕES HIDRAULICAS)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25.5" x14ac:dyDescent="0.2">
      <c r="A233" s="9" t="str">
        <f t="shared" ca="1" si="11"/>
        <v>208</v>
      </c>
      <c r="B233" s="9" t="str">
        <f ca="1">OFFSET(ORÇAMENTO!C$15,ROW(B233)-ROW(B$15),0)</f>
        <v>S</v>
      </c>
      <c r="C233" s="9" t="str">
        <f ca="1">OFFSET(ORÇAMENTO!L$15,ROW(C233)-ROW(C$15),0)</f>
        <v>F</v>
      </c>
      <c r="D233" s="146" t="str">
        <f ca="1">OFFSET(ORÇAMENTO!N$15,ROW(D233)-ROW(D$15),0)</f>
        <v>Serviço</v>
      </c>
      <c r="E233" s="206" t="str">
        <f ca="1">OFFSET(ORÇAMENTO!O$15,ROW(E233)-ROW(E$15),0)</f>
        <v>4.1.10.</v>
      </c>
      <c r="F233" s="207" t="str">
        <f ca="1">OFFSET(ORÇAMENTO!R$15,ROW(F233)-ROW(F$15),0)</f>
        <v>BACIA SANITARIA (VASO) COM CAIXA ACOPLADA, DE LOUCA BRANCA</v>
      </c>
      <c r="G233" s="208" t="str">
        <f ca="1">IF($D233&lt;&gt;"Serviço","",OFFSET(ORÇAMENTO!S$15,ROW(G233)-ROW(G$15),0))</f>
        <v xml:space="preserve">UN    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1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23</v>
      </c>
      <c r="N233" s="212" t="str">
        <f ca="1">IF($D233&lt;&gt;"Serviço","",IF(AUTOEVENTO="Manual",IF($A233=0,"&lt;-- defina o número do agrupador",OFFSET(EVENTOS!$D$14,$A233,0)),OFFSET($F$15,$A233,0)))</f>
        <v>(REVESTIMENTOS/ INSTALAÇÕES HIDRAULICAS)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25.5" x14ac:dyDescent="0.2">
      <c r="A234" s="9" t="str">
        <f t="shared" ca="1" si="11"/>
        <v>208</v>
      </c>
      <c r="B234" s="9" t="str">
        <f ca="1">OFFSET(ORÇAMENTO!C$15,ROW(B234)-ROW(B$15),0)</f>
        <v>S</v>
      </c>
      <c r="C234" s="9" t="str">
        <f ca="1">OFFSET(ORÇAMENTO!L$15,ROW(C234)-ROW(C$15),0)</f>
        <v>F</v>
      </c>
      <c r="D234" s="146" t="str">
        <f ca="1">OFFSET(ORÇAMENTO!N$15,ROW(D234)-ROW(D$15),0)</f>
        <v>Serviço</v>
      </c>
      <c r="E234" s="206" t="str">
        <f ca="1">OFFSET(ORÇAMENTO!O$15,ROW(E234)-ROW(E$15),0)</f>
        <v>4.1.11.</v>
      </c>
      <c r="F234" s="207" t="str">
        <f ca="1">OFFSET(ORÇAMENTO!R$15,ROW(F234)-ROW(F$15),0)</f>
        <v>CAIXA SIFONADA, PVC, DN 100 X 100 X 50 MM, JUNTA ELÁSTICA, FORNECIDA E INSTALADA EM RAMAL DE DESCARGA OU EM RAMAL DE ESGOTO SANITÁRIO. AF_12/2014</v>
      </c>
      <c r="G234" s="208" t="str">
        <f ca="1">IF($D234&lt;&gt;"Serviço","",OFFSET(ORÇAMENTO!S$15,ROW(G234)-ROW(G$15),0))</f>
        <v>UN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1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23</v>
      </c>
      <c r="N234" s="212" t="str">
        <f ca="1">IF($D234&lt;&gt;"Serviço","",IF(AUTOEVENTO="Manual",IF($A234=0,"&lt;-- defina o número do agrupador",OFFSET(EVENTOS!$D$14,$A234,0)),OFFSET($F$15,$A234,0)))</f>
        <v>(REVESTIMENTOS/ INSTALAÇÕES HIDRAULICAS)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25.5" x14ac:dyDescent="0.2">
      <c r="A235" s="9" t="str">
        <f t="shared" ca="1" si="11"/>
        <v>208</v>
      </c>
      <c r="B235" s="9" t="str">
        <f ca="1">OFFSET(ORÇAMENTO!C$15,ROW(B235)-ROW(B$15),0)</f>
        <v>S</v>
      </c>
      <c r="C235" s="9" t="str">
        <f ca="1">OFFSET(ORÇAMENTO!L$15,ROW(C235)-ROW(C$15),0)</f>
        <v>F</v>
      </c>
      <c r="D235" s="146" t="str">
        <f ca="1">OFFSET(ORÇAMENTO!N$15,ROW(D235)-ROW(D$15),0)</f>
        <v>Serviço</v>
      </c>
      <c r="E235" s="206" t="str">
        <f ca="1">OFFSET(ORÇAMENTO!O$15,ROW(E235)-ROW(E$15),0)</f>
        <v>4.1.12.</v>
      </c>
      <c r="F235" s="207" t="str">
        <f ca="1">OFFSET(ORÇAMENTO!R$15,ROW(F235)-ROW(F$15),0)</f>
        <v>TE, PVC, SOLDÁVEL, DN 25MM, INSTALADO EM RAMAL DE DISTRIBUIÇÃO DE ÁGUA - FORNECIMENTO E INSTALAÇÃO. AF_12/2014</v>
      </c>
      <c r="G235" s="208" t="str">
        <f ca="1">IF($D235&lt;&gt;"Serviço","",OFFSET(ORÇAMENTO!S$15,ROW(G235)-ROW(G$15),0))</f>
        <v>UN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4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23</v>
      </c>
      <c r="N235" s="212" t="str">
        <f ca="1">IF($D235&lt;&gt;"Serviço","",IF(AUTOEVENTO="Manual",IF($A235=0,"&lt;-- defina o número do agrupador",OFFSET(EVENTOS!$D$14,$A235,0)),OFFSET($F$15,$A235,0)))</f>
        <v>(REVESTIMENTOS/ INSTALAÇÕES HIDRAULICAS)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25.5" x14ac:dyDescent="0.2">
      <c r="A236" s="9" t="str">
        <f t="shared" ca="1" si="11"/>
        <v>208</v>
      </c>
      <c r="B236" s="9" t="str">
        <f ca="1">OFFSET(ORÇAMENTO!C$15,ROW(B236)-ROW(B$15),0)</f>
        <v>S</v>
      </c>
      <c r="C236" s="9" t="str">
        <f ca="1">OFFSET(ORÇAMENTO!L$15,ROW(C236)-ROW(C$15),0)</f>
        <v>F</v>
      </c>
      <c r="D236" s="146" t="str">
        <f ca="1">OFFSET(ORÇAMENTO!N$15,ROW(D236)-ROW(D$15),0)</f>
        <v>Serviço</v>
      </c>
      <c r="E236" s="206" t="str">
        <f ca="1">OFFSET(ORÇAMENTO!O$15,ROW(E236)-ROW(E$15),0)</f>
        <v>4.1.13.</v>
      </c>
      <c r="F236" s="207" t="str">
        <f ca="1">OFFSET(ORÇAMENTO!R$15,ROW(F236)-ROW(F$15),0)</f>
        <v>JOELHO 90 GRAUS, PVC, SERIE NORMAL, ESGOTO PREDIAL, DN 100 MM, JUNTA ELÁSTICA, FORNECIDO E INSTALADO EM RAMAL DE DESCARGA OU RAMAL DE ESGOTO SANITÁRIO. AF_12/2014</v>
      </c>
      <c r="G236" s="208" t="str">
        <f ca="1">IF($D236&lt;&gt;"Serviço","",OFFSET(ORÇAMENTO!S$15,ROW(G236)-ROW(G$15),0))</f>
        <v>UN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2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23</v>
      </c>
      <c r="N236" s="212" t="str">
        <f ca="1">IF($D236&lt;&gt;"Serviço","",IF(AUTOEVENTO="Manual",IF($A236=0,"&lt;-- defina o número do agrupador",OFFSET(EVENTOS!$D$14,$A236,0)),OFFSET($F$15,$A236,0)))</f>
        <v>(REVESTIMENTOS/ INSTALAÇÕES HIDRAULICAS)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25.5" x14ac:dyDescent="0.2">
      <c r="A237" s="9" t="str">
        <f t="shared" ca="1" si="11"/>
        <v>208</v>
      </c>
      <c r="B237" s="9" t="str">
        <f ca="1">OFFSET(ORÇAMENTO!C$15,ROW(B237)-ROW(B$15),0)</f>
        <v>S</v>
      </c>
      <c r="C237" s="9" t="str">
        <f ca="1">OFFSET(ORÇAMENTO!L$15,ROW(C237)-ROW(C$15),0)</f>
        <v>F</v>
      </c>
      <c r="D237" s="146" t="str">
        <f ca="1">OFFSET(ORÇAMENTO!N$15,ROW(D237)-ROW(D$15),0)</f>
        <v>Serviço</v>
      </c>
      <c r="E237" s="206" t="str">
        <f ca="1">OFFSET(ORÇAMENTO!O$15,ROW(E237)-ROW(E$15),0)</f>
        <v>4.1.14.</v>
      </c>
      <c r="F237" s="207" t="str">
        <f ca="1">OFFSET(ORÇAMENTO!R$15,ROW(F237)-ROW(F$15),0)</f>
        <v>JOELHO 90 GRAUS, PVC, SOLDÁVEL, DN 25MM, INSTALADO EM RAMAL OU SUB-RAMAL DE ÁGUA - FORNECIMENTO E INSTALAÇÃO. AF_12/2014</v>
      </c>
      <c r="G237" s="208" t="str">
        <f ca="1">IF($D237&lt;&gt;"Serviço","",OFFSET(ORÇAMENTO!S$15,ROW(G237)-ROW(G$15),0))</f>
        <v>UN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4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23</v>
      </c>
      <c r="N237" s="212" t="str">
        <f ca="1">IF($D237&lt;&gt;"Serviço","",IF(AUTOEVENTO="Manual",IF($A237=0,"&lt;-- defina o número do agrupador",OFFSET(EVENTOS!$D$14,$A237,0)),OFFSET($F$15,$A237,0)))</f>
        <v>(REVESTIMENTOS/ INSTALAÇÕES HIDRAULICAS)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25.5" x14ac:dyDescent="0.2">
      <c r="A238" s="9" t="str">
        <f t="shared" ca="1" si="11"/>
        <v>208</v>
      </c>
      <c r="B238" s="9" t="str">
        <f ca="1">OFFSET(ORÇAMENTO!C$15,ROW(B238)-ROW(B$15),0)</f>
        <v>S</v>
      </c>
      <c r="C238" s="9" t="str">
        <f ca="1">OFFSET(ORÇAMENTO!L$15,ROW(C238)-ROW(C$15),0)</f>
        <v>F</v>
      </c>
      <c r="D238" s="146" t="str">
        <f ca="1">OFFSET(ORÇAMENTO!N$15,ROW(D238)-ROW(D$15),0)</f>
        <v>Serviço</v>
      </c>
      <c r="E238" s="206" t="str">
        <f ca="1">OFFSET(ORÇAMENTO!O$15,ROW(E238)-ROW(E$15),0)</f>
        <v>4.1.15.</v>
      </c>
      <c r="F238" s="207" t="str">
        <f ca="1">OFFSET(ORÇAMENTO!R$15,ROW(F238)-ROW(F$15),0)</f>
        <v>TORNEIRA CROMADA DE MESA, 1/2 OU 3/4, PARA LAVATÓRIO, PADRÃO POPULAR - FORNECIMENTO E INSTALAÇÃO. AF_01/2020</v>
      </c>
      <c r="G238" s="208" t="str">
        <f ca="1">IF($D238&lt;&gt;"Serviço","",OFFSET(ORÇAMENTO!S$15,ROW(G238)-ROW(G$15),0))</f>
        <v>UN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1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23</v>
      </c>
      <c r="N238" s="212" t="str">
        <f ca="1">IF($D238&lt;&gt;"Serviço","",IF(AUTOEVENTO="Manual",IF($A238=0,"&lt;-- defina o número do agrupador",OFFSET(EVENTOS!$D$14,$A238,0)),OFFSET($F$15,$A238,0)))</f>
        <v>(REVESTIMENTOS/ INSTALAÇÕES HIDRAULICAS)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25.5" x14ac:dyDescent="0.2">
      <c r="A239" s="9" t="str">
        <f t="shared" ca="1" si="11"/>
        <v>208</v>
      </c>
      <c r="B239" s="9" t="str">
        <f ca="1">OFFSET(ORÇAMENTO!C$15,ROW(B239)-ROW(B$15),0)</f>
        <v>S</v>
      </c>
      <c r="C239" s="9" t="str">
        <f ca="1">OFFSET(ORÇAMENTO!L$15,ROW(C239)-ROW(C$15),0)</f>
        <v>F</v>
      </c>
      <c r="D239" s="146" t="str">
        <f ca="1">OFFSET(ORÇAMENTO!N$15,ROW(D239)-ROW(D$15),0)</f>
        <v>Serviço</v>
      </c>
      <c r="E239" s="206" t="str">
        <f ca="1">OFFSET(ORÇAMENTO!O$15,ROW(E239)-ROW(E$15),0)</f>
        <v>4.1.16.</v>
      </c>
      <c r="F239" s="207" t="str">
        <f ca="1">OFFSET(ORÇAMENTO!R$15,ROW(F239)-ROW(F$15),0)</f>
        <v>REGISTRO DE GAVETA BRUTO, LATÃO, ROSCÁVEL, 3/4", FORNECIDO E INSTALADO EM RAMAL DE ÁGUA. AF_12/2014</v>
      </c>
      <c r="G239" s="208" t="str">
        <f ca="1">IF($D239&lt;&gt;"Serviço","",OFFSET(ORÇAMENTO!S$15,ROW(G239)-ROW(G$15),0))</f>
        <v>UN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1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23</v>
      </c>
      <c r="N239" s="212" t="str">
        <f ca="1">IF($D239&lt;&gt;"Serviço","",IF(AUTOEVENTO="Manual",IF($A239=0,"&lt;-- defina o número do agrupador",OFFSET(EVENTOS!$D$14,$A239,0)),OFFSET($F$15,$A239,0)))</f>
        <v>(REVESTIMENTOS/ INSTALAÇÕES HIDRAULICAS)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25.5" x14ac:dyDescent="0.2">
      <c r="A240" s="9" t="str">
        <f t="shared" ca="1" si="11"/>
        <v>208</v>
      </c>
      <c r="B240" s="9" t="str">
        <f ca="1">OFFSET(ORÇAMENTO!C$15,ROW(B240)-ROW(B$15),0)</f>
        <v>S</v>
      </c>
      <c r="C240" s="9" t="str">
        <f ca="1">OFFSET(ORÇAMENTO!L$15,ROW(C240)-ROW(C$15),0)</f>
        <v>F</v>
      </c>
      <c r="D240" s="146" t="str">
        <f ca="1">OFFSET(ORÇAMENTO!N$15,ROW(D240)-ROW(D$15),0)</f>
        <v>Serviço</v>
      </c>
      <c r="E240" s="206" t="str">
        <f ca="1">OFFSET(ORÇAMENTO!O$15,ROW(E240)-ROW(E$15),0)</f>
        <v>4.1.17.</v>
      </c>
      <c r="F240" s="207" t="str">
        <f ca="1">OFFSET(ORÇAMENTO!R$15,ROW(F240)-ROW(F$15),0)</f>
        <v>RALO SIFONADO, PVC, DN 100 X 40 MM, JUNTA SOLDÁVEL, FORNECIDO E INSTALADO EM RAMAL DE DESCARGA OU EM RAMAL DE ESGOTO SANITÁRIO. AF_12/2014</v>
      </c>
      <c r="G240" s="208" t="str">
        <f ca="1">IF($D240&lt;&gt;"Serviço","",OFFSET(ORÇAMENTO!S$15,ROW(G240)-ROW(G$15),0))</f>
        <v>UN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1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23</v>
      </c>
      <c r="N240" s="212" t="str">
        <f ca="1">IF($D240&lt;&gt;"Serviço","",IF(AUTOEVENTO="Manual",IF($A240=0,"&lt;-- defina o número do agrupador",OFFSET(EVENTOS!$D$14,$A240,0)),OFFSET($F$15,$A240,0)))</f>
        <v>(REVESTIMENTOS/ INSTALAÇÕES HIDRAULICAS)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25.5" x14ac:dyDescent="0.2">
      <c r="A241" s="9" t="str">
        <f t="shared" ca="1" si="11"/>
        <v>208</v>
      </c>
      <c r="B241" s="9" t="str">
        <f ca="1">OFFSET(ORÇAMENTO!C$15,ROW(B241)-ROW(B$15),0)</f>
        <v>S</v>
      </c>
      <c r="C241" s="9" t="str">
        <f ca="1">OFFSET(ORÇAMENTO!L$15,ROW(C241)-ROW(C$15),0)</f>
        <v>F</v>
      </c>
      <c r="D241" s="146" t="str">
        <f ca="1">OFFSET(ORÇAMENTO!N$15,ROW(D241)-ROW(D$15),0)</f>
        <v>Serviço</v>
      </c>
      <c r="E241" s="206" t="str">
        <f ca="1">OFFSET(ORÇAMENTO!O$15,ROW(E241)-ROW(E$15),0)</f>
        <v>4.1.18.</v>
      </c>
      <c r="F241" s="207" t="str">
        <f ca="1">OFFSET(ORÇAMENTO!R$15,ROW(F241)-ROW(F$15),0)</f>
        <v>SABONETEIRA PLASTICA TIPO DISPENSER PARA SABONETE LIQUIDO COM RESERVATORIO 800 A 1500 ML</v>
      </c>
      <c r="G241" s="208" t="str">
        <f ca="1">IF($D241&lt;&gt;"Serviço","",OFFSET(ORÇAMENTO!S$15,ROW(G241)-ROW(G$15),0))</f>
        <v xml:space="preserve">UN    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1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23</v>
      </c>
      <c r="N241" s="212" t="str">
        <f ca="1">IF($D241&lt;&gt;"Serviço","",IF(AUTOEVENTO="Manual",IF($A241=0,"&lt;-- defina o número do agrupador",OFFSET(EVENTOS!$D$14,$A241,0)),OFFSET($F$15,$A241,0)))</f>
        <v>(REVESTIMENTOS/ INSTALAÇÕES HIDRAULICAS)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25.5" x14ac:dyDescent="0.2">
      <c r="A242" s="9" t="str">
        <f t="shared" ca="1" si="11"/>
        <v>208</v>
      </c>
      <c r="B242" s="9" t="str">
        <f ca="1">OFFSET(ORÇAMENTO!C$15,ROW(B242)-ROW(B$15),0)</f>
        <v>S</v>
      </c>
      <c r="C242" s="9" t="str">
        <f ca="1">OFFSET(ORÇAMENTO!L$15,ROW(C242)-ROW(C$15),0)</f>
        <v>F</v>
      </c>
      <c r="D242" s="146" t="str">
        <f ca="1">OFFSET(ORÇAMENTO!N$15,ROW(D242)-ROW(D$15),0)</f>
        <v>Serviço</v>
      </c>
      <c r="E242" s="206" t="str">
        <f ca="1">OFFSET(ORÇAMENTO!O$15,ROW(E242)-ROW(E$15),0)</f>
        <v>4.1.19.</v>
      </c>
      <c r="F242" s="207" t="str">
        <f ca="1">OFFSET(ORÇAMENTO!R$15,ROW(F242)-ROW(F$15),0)</f>
        <v>LAVATORIO LOUCA BRANCA COM COLUNA *44 X 35,5* CM</v>
      </c>
      <c r="G242" s="208" t="str">
        <f ca="1">IF($D242&lt;&gt;"Serviço","",OFFSET(ORÇAMENTO!S$15,ROW(G242)-ROW(G$15),0))</f>
        <v xml:space="preserve">UN    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1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23</v>
      </c>
      <c r="N242" s="212" t="str">
        <f ca="1">IF($D242&lt;&gt;"Serviço","",IF(AUTOEVENTO="Manual",IF($A242=0,"&lt;-- defina o número do agrupador",OFFSET(EVENTOS!$D$14,$A242,0)),OFFSET($F$15,$A242,0)))</f>
        <v>(REVESTIMENTOS/ INSTALAÇÕES HIDRAULICAS)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25.5" x14ac:dyDescent="0.2">
      <c r="A243" s="9" t="str">
        <f t="shared" ca="1" si="11"/>
        <v>208</v>
      </c>
      <c r="B243" s="9" t="str">
        <f ca="1">OFFSET(ORÇAMENTO!C$15,ROW(B243)-ROW(B$15),0)</f>
        <v>S</v>
      </c>
      <c r="C243" s="9" t="str">
        <f ca="1">OFFSET(ORÇAMENTO!L$15,ROW(C243)-ROW(C$15),0)</f>
        <v>F</v>
      </c>
      <c r="D243" s="146" t="str">
        <f ca="1">OFFSET(ORÇAMENTO!N$15,ROW(D243)-ROW(D$15),0)</f>
        <v>Serviço</v>
      </c>
      <c r="E243" s="206" t="str">
        <f ca="1">OFFSET(ORÇAMENTO!O$15,ROW(E243)-ROW(E$15),0)</f>
        <v>4.1.20.</v>
      </c>
      <c r="F243" s="207" t="str">
        <f ca="1">OFFSET(ORÇAMENTO!R$15,ROW(F243)-ROW(F$15),0)</f>
        <v>JANELA BASCULANTE EM ALUMINIO, 80 X 60 CM (A X L), ACABAMENTO ACET OU BRILHANTE, BATENTE/REQUADRO DE 3 A 14 CM, COM VIDRO, SEM GUARNICAO/ALIZAR</v>
      </c>
      <c r="G243" s="208" t="str">
        <f ca="1">IF($D243&lt;&gt;"Serviço","",OFFSET(ORÇAMENTO!S$15,ROW(G243)-ROW(G$15),0))</f>
        <v xml:space="preserve">UN    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1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23</v>
      </c>
      <c r="N243" s="212" t="str">
        <f ca="1">IF($D243&lt;&gt;"Serviço","",IF(AUTOEVENTO="Manual",IF($A243=0,"&lt;-- defina o número do agrupador",OFFSET(EVENTOS!$D$14,$A243,0)),OFFSET($F$15,$A243,0)))</f>
        <v>(REVESTIMENTOS/ INSTALAÇÕES HIDRAULICAS)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25.5" x14ac:dyDescent="0.2">
      <c r="A244" s="9" t="str">
        <f t="shared" ca="1" si="11"/>
        <v>208</v>
      </c>
      <c r="B244" s="9" t="str">
        <f ca="1">OFFSET(ORÇAMENTO!C$15,ROW(B244)-ROW(B$15),0)</f>
        <v>S</v>
      </c>
      <c r="C244" s="9" t="str">
        <f ca="1">OFFSET(ORÇAMENTO!L$15,ROW(C244)-ROW(C$15),0)</f>
        <v>F</v>
      </c>
      <c r="D244" s="146" t="str">
        <f ca="1">OFFSET(ORÇAMENTO!N$15,ROW(D244)-ROW(D$15),0)</f>
        <v>Serviço</v>
      </c>
      <c r="E244" s="206" t="str">
        <f ca="1">OFFSET(ORÇAMENTO!O$15,ROW(E244)-ROW(E$15),0)</f>
        <v>4.1.21.</v>
      </c>
      <c r="F244" s="207" t="str">
        <f ca="1">OFFSET(ORÇAMENTO!R$15,ROW(F244)-ROW(F$15),0)</f>
        <v>PORTA DE MADEIRA, FOLHA MEDIA (NBR 15930) DE 90 X 210 CM, E = 35 MM, NUCLEO SARRAFEADO, CAPA LISA EM HDF, ACABAMENTO EM LAMINADO NATURAL PARA VERNIZ</v>
      </c>
      <c r="G244" s="208" t="str">
        <f ca="1">IF($D244&lt;&gt;"Serviço","",OFFSET(ORÇAMENTO!S$15,ROW(G244)-ROW(G$15),0))</f>
        <v xml:space="preserve">UN    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1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23</v>
      </c>
      <c r="N244" s="212" t="str">
        <f ca="1">IF($D244&lt;&gt;"Serviço","",IF(AUTOEVENTO="Manual",IF($A244=0,"&lt;-- defina o número do agrupador",OFFSET(EVENTOS!$D$14,$A244,0)),OFFSET($F$15,$A244,0)))</f>
        <v>(REVESTIMENTOS/ INSTALAÇÕES HIDRAULICAS)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25.5" x14ac:dyDescent="0.2">
      <c r="A245" s="9" t="str">
        <f t="shared" ca="1" si="11"/>
        <v>208</v>
      </c>
      <c r="B245" s="9" t="str">
        <f ca="1">OFFSET(ORÇAMENTO!C$15,ROW(B245)-ROW(B$15),0)</f>
        <v>S</v>
      </c>
      <c r="C245" s="9" t="str">
        <f ca="1">OFFSET(ORÇAMENTO!L$15,ROW(C245)-ROW(C$15),0)</f>
        <v>F</v>
      </c>
      <c r="D245" s="146" t="str">
        <f ca="1">OFFSET(ORÇAMENTO!N$15,ROW(D245)-ROW(D$15),0)</f>
        <v>Serviço</v>
      </c>
      <c r="E245" s="206" t="str">
        <f ca="1">OFFSET(ORÇAMENTO!O$15,ROW(E245)-ROW(E$15),0)</f>
        <v>4.1.22.</v>
      </c>
      <c r="F245" s="207" t="str">
        <f ca="1">OFFSET(ORÇAMENTO!R$15,ROW(F245)-ROW(F$15),0)</f>
        <v>BARRA DE APOIO RETA, EM ACO INOX POLIDO, COMPRIMENTO 70 CM,  FIXADA NA PAREDE - FORNECIMENTO E INSTALAÇÃO. AF_01/2020</v>
      </c>
      <c r="G245" s="208" t="str">
        <f ca="1">IF($D245&lt;&gt;"Serviço","",OFFSET(ORÇAMENTO!S$15,ROW(G245)-ROW(G$15),0))</f>
        <v>UN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2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23</v>
      </c>
      <c r="N245" s="212" t="str">
        <f ca="1">IF($D245&lt;&gt;"Serviço","",IF(AUTOEVENTO="Manual",IF($A245=0,"&lt;-- defina o número do agrupador",OFFSET(EVENTOS!$D$14,$A245,0)),OFFSET($F$15,$A245,0)))</f>
        <v>(REVESTIMENTOS/ INSTALAÇÕES HIDRAULICAS)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25.5" x14ac:dyDescent="0.2">
      <c r="A246" s="9" t="str">
        <f t="shared" ca="1" si="11"/>
        <v>208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23</v>
      </c>
      <c r="N246" s="212" t="str">
        <f ca="1">IF($D246&lt;&gt;"Serviço","",IF(AUTOEVENTO="Manual",IF($A246=0,"&lt;-- defina o número do agrupador",OFFSET(EVENTOS!$D$14,$A246,0)),OFFSET($F$15,$A246,0)))</f>
        <v>(REVESTIMENTOS/ INSTALAÇÕES HIDRAULICAS)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232.</v>
      </c>
      <c r="B247" s="9">
        <f ca="1">OFFSET(ORÇAMENTO!C$15,ROW(B247)-ROW(B$15),0)</f>
        <v>2</v>
      </c>
      <c r="C247" s="9" t="str">
        <f ca="1">OFFSET(ORÇAMENTO!L$15,ROW(C247)-ROW(C$15),0)</f>
        <v>F</v>
      </c>
      <c r="D247" s="146" t="str">
        <f ca="1">OFFSET(ORÇAMENTO!N$15,ROW(D247)-ROW(D$15),0)</f>
        <v>Nível 2</v>
      </c>
      <c r="E247" s="206" t="str">
        <f ca="1">OFFSET(ORÇAMENTO!O$15,ROW(E247)-ROW(E$15),0)</f>
        <v>4.2.</v>
      </c>
      <c r="F247" s="207" t="str">
        <f ca="1">OFFSET(ORÇAMENTO!R$15,ROW(F247)-ROW(F$15),0)</f>
        <v>(INSTALAÇÕES ELÉTRICAS)</v>
      </c>
      <c r="G247" s="208" t="str">
        <f ca="1">IF($D247&lt;&gt;"Serviço","",OFFSET(ORÇAMENTO!S$15,ROW(G247)-ROW(G$15),0))</f>
        <v/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 t="str">
        <f ca="1">IF($D247&lt;&gt;"Serviço","",IF(AUTOEVENTO="manual",$A247,IF(ISERROR(MATCH($A247,$A$15:OFFSET($A247,-1,0),0)),MAX($M$15:OFFSET(M247,-1,0))+1,INDEX($M$15:OFFSET(M247,-1,0),MATCH($A247,$A$15:OFFSET($A247,-1,0),0)))))</f>
        <v/>
      </c>
      <c r="N247" s="212" t="str">
        <f ca="1">IF($D247&lt;&gt;"Serviço","",IF(AUTOEVENTO="Manual",IF($A247=0,"&lt;-- defina o número do agrupador",OFFSET(EVENTOS!$D$14,$A247,0)),OFFSET($F$15,$A247,0)))</f>
        <v/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0</v>
      </c>
      <c r="AN247" s="216">
        <f ca="1">IF($D247&lt;&gt;"Serviço",0,IF(AND(AUTOEVENTO="Manual",$M247=1),0,IF(OFFSET(CRONOPLE!$F$14,$M247,AN$13)="",10^12,OFFSET(CRONOPLE!$F$14,$M247,AN$13))))</f>
        <v>0</v>
      </c>
      <c r="AO247" s="216">
        <f ca="1">IF($D247&lt;&gt;"Serviço",0,IF(AND(AUTOEVENTO="Manual",$M247=1),0,IF(OFFSET(CRONOPLE!$F$14,$M247,AO$13)="",10^12,OFFSET(CRONOPLE!$F$14,$M247,AO$13))))</f>
        <v>0</v>
      </c>
      <c r="AP247" s="216">
        <f ca="1">IF($D247&lt;&gt;"Serviço",0,IF(AND(AUTOEVENTO="Manual",$M247=1),0,IF(OFFSET(CRONOPLE!$F$14,$M247,AP$13)="",10^12,OFFSET(CRONOPLE!$F$14,$M247,AP$13))))</f>
        <v>0</v>
      </c>
      <c r="AQ247" s="216">
        <f ca="1">IF($D247&lt;&gt;"Serviço",0,IF(AND(AUTOEVENTO="Manual",$M247=1),0,IF(OFFSET(CRONOPLE!$F$14,$M247,AQ$13)="",10^12,OFFSET(CRONOPLE!$F$14,$M247,AQ$13))))</f>
        <v>0</v>
      </c>
      <c r="AR247" s="216">
        <f ca="1">IF($D247&lt;&gt;"Serviço",0,IF(AND(AUTOEVENTO="Manual",$M247=1),0,IF(OFFSET(CRONOPLE!$F$14,$M247,AR$13)="",10^12,OFFSET(CRONOPLE!$F$14,$M247,AR$13))))</f>
        <v>0</v>
      </c>
      <c r="AS247" s="216">
        <f ca="1">IF($D247&lt;&gt;"Serviço",0,IF(AND(AUTOEVENTO="Manual",$M247=1),0,IF(OFFSET(CRONOPLE!$F$14,$M247,AS$13)="",10^12,OFFSET(CRONOPLE!$F$14,$M247,AS$13))))</f>
        <v>0</v>
      </c>
      <c r="AT247" s="216">
        <f ca="1">IF($D247&lt;&gt;"Serviço",0,IF(AND(AUTOEVENTO="Manual",$M247=1),0,IF(OFFSET(CRONOPLE!$F$14,$M247,AT$13)="",10^12,OFFSET(CRONOPLE!$F$14,$M247,AT$13))))</f>
        <v>0</v>
      </c>
      <c r="AU247" s="216">
        <f ca="1">IF($D247&lt;&gt;"Serviço",0,IF(AND(AUTOEVENTO="Manual",$M247=1),0,IF(OFFSET(CRONOPLE!$F$14,$M247,AU$13)="",10^12,OFFSET(CRONOPLE!$F$14,$M247,AU$13))))</f>
        <v>0</v>
      </c>
      <c r="AV247" s="216">
        <f ca="1">IF($D247&lt;&gt;"Serviço",0,IF(AND(AUTOEVENTO="Manual",$M247=1),0,IF(OFFSET(CRONOPLE!$F$14,$M247,AV$13)="",10^12,OFFSET(CRONOPLE!$F$14,$M247,AV$13))))</f>
        <v>0</v>
      </c>
      <c r="AX247" s="217">
        <f ca="1">IF($D247&lt;&gt;"Serviço",0,IF(OR(AND(AUTOEVENTO="Manual",$M247=1),$M247&gt;(ROW(PLE.lastrow)-ROW(PLE.firstrow))),0,IF(OFFSET(PLE!$G$14,$M247,AX$13)="",10^12,OFFSET(PLE!$G$14,$M247,AX$13))))</f>
        <v>0</v>
      </c>
      <c r="AY247" s="217">
        <f ca="1">IF($D247&lt;&gt;"Serviço",0,IF(OR(AND(AUTOEVENTO="Manual",$M247=1),$M247&gt;(ROW(PLE.lastrow)-ROW(PLE.firstrow))),0,IF(OFFSET(PLE!$G$14,$M247,AY$13)="",10^12,OFFSET(PLE!$G$14,$M247,AY$13))))</f>
        <v>0</v>
      </c>
      <c r="AZ247" s="217">
        <f ca="1">IF($D247&lt;&gt;"Serviço",0,IF(OR(AND(AUTOEVENTO="Manual",$M247=1),$M247&gt;(ROW(PLE.lastrow)-ROW(PLE.firstrow))),0,IF(OFFSET(PLE!$G$14,$M247,AZ$13)="",10^12,OFFSET(PLE!$G$14,$M247,AZ$13))))</f>
        <v>0</v>
      </c>
      <c r="BA247" s="217">
        <f ca="1">IF($D247&lt;&gt;"Serviço",0,IF(OR(AND(AUTOEVENTO="Manual",$M247=1),$M247&gt;(ROW(PLE.lastrow)-ROW(PLE.firstrow))),0,IF(OFFSET(PLE!$G$14,$M247,BA$13)="",10^12,OFFSET(PLE!$G$14,$M247,BA$13))))</f>
        <v>0</v>
      </c>
      <c r="BB247" s="217">
        <f ca="1">IF($D247&lt;&gt;"Serviço",0,IF(OR(AND(AUTOEVENTO="Manual",$M247=1),$M247&gt;(ROW(PLE.lastrow)-ROW(PLE.firstrow))),0,IF(OFFSET(PLE!$G$14,$M247,BB$13)="",10^12,OFFSET(PLE!$G$14,$M247,BB$13))))</f>
        <v>0</v>
      </c>
      <c r="BC247" s="217">
        <f ca="1">IF($D247&lt;&gt;"Serviço",0,IF(OR(AND(AUTOEVENTO="Manual",$M247=1),$M247&gt;(ROW(PLE.lastrow)-ROW(PLE.firstrow))),0,IF(OFFSET(PLE!$G$14,$M247,BC$13)="",10^12,OFFSET(PLE!$G$14,$M247,BC$13))))</f>
        <v>0</v>
      </c>
      <c r="BD247" s="217">
        <f ca="1">IF($D247&lt;&gt;"Serviço",0,IF(OR(AND(AUTOEVENTO="Manual",$M247=1),$M247&gt;(ROW(PLE.lastrow)-ROW(PLE.firstrow))),0,IF(OFFSET(PLE!$G$14,$M247,BD$13)="",10^12,OFFSET(PLE!$G$14,$M247,BD$13))))</f>
        <v>0</v>
      </c>
      <c r="BE247" s="217">
        <f ca="1">IF($D247&lt;&gt;"Serviço",0,IF(OR(AND(AUTOEVENTO="Manual",$M247=1),$M247&gt;(ROW(PLE.lastrow)-ROW(PLE.firstrow))),0,IF(OFFSET(PLE!$G$14,$M247,BE$13)="",10^12,OFFSET(PLE!$G$14,$M247,BE$13))))</f>
        <v>0</v>
      </c>
      <c r="BF247" s="217">
        <f ca="1">IF($D247&lt;&gt;"Serviço",0,IF(OR(AND(AUTOEVENTO="Manual",$M247=1),$M247&gt;(ROW(PLE.lastrow)-ROW(PLE.firstrow))),0,IF(OFFSET(PLE!$G$14,$M247,BF$13)="",10^12,OFFSET(PLE!$G$14,$M247,BF$13))))</f>
        <v>0</v>
      </c>
      <c r="BG247" s="217">
        <f ca="1">IF($D247&lt;&gt;"Serviço",0,IF(OR(AND(AUTOEVENTO="Manual",$M247=1),$M247&gt;(ROW(PLE.lastrow)-ROW(PLE.firstrow))),0,IF(OFFSET(PLE!$G$14,$M247,BG$13)="",10^12,OFFSET(PLE!$G$14,$M247,BG$13))))</f>
        <v>0</v>
      </c>
    </row>
    <row r="248" spans="1:59" ht="12.75" x14ac:dyDescent="0.2">
      <c r="A248" s="9" t="str">
        <f t="shared" ca="1" si="11"/>
        <v>232</v>
      </c>
      <c r="B248" s="9" t="str">
        <f ca="1">OFFSET(ORÇAMENTO!C$15,ROW(B248)-ROW(B$15),0)</f>
        <v>S</v>
      </c>
      <c r="C248" s="9" t="str">
        <f ca="1">OFFSET(ORÇAMENTO!L$15,ROW(C248)-ROW(C$15),0)</f>
        <v>F</v>
      </c>
      <c r="D248" s="146" t="str">
        <f ca="1">OFFSET(ORÇAMENTO!N$15,ROW(D248)-ROW(D$15),0)</f>
        <v>Serviço</v>
      </c>
      <c r="E248" s="206" t="str">
        <f ca="1">OFFSET(ORÇAMENTO!O$15,ROW(E248)-ROW(E$15),0)</f>
        <v>4.2.1.</v>
      </c>
      <c r="F248" s="207" t="str">
        <f ca="1">OFFSET(ORÇAMENTO!R$15,ROW(F248)-ROW(F$15),0)</f>
        <v>FIO DE COBRE, SOLIDO, CLASSE 1, ISOLACAO EM PVC/A, ANTICHAMA BWF-B, 450/750V, SECAO NOMINAL 2,5 MM2</v>
      </c>
      <c r="G248" s="208" t="str">
        <f ca="1">IF($D248&lt;&gt;"Serviço","",OFFSET(ORÇAMENTO!S$15,ROW(G248)-ROW(G$15),0))</f>
        <v xml:space="preserve">M     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19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24</v>
      </c>
      <c r="N248" s="212" t="str">
        <f ca="1">IF($D248&lt;&gt;"Serviço","",IF(AUTOEVENTO="Manual",IF($A248=0,"&lt;-- defina o número do agrupador",OFFSET(EVENTOS!$D$14,$A248,0)),OFFSET($F$15,$A248,0)))</f>
        <v>(INSTALAÇÕES ELÉTRICAS)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232</v>
      </c>
      <c r="B249" s="9" t="str">
        <f ca="1">OFFSET(ORÇAMENTO!C$15,ROW(B249)-ROW(B$15),0)</f>
        <v>S</v>
      </c>
      <c r="C249" s="9" t="str">
        <f ca="1">OFFSET(ORÇAMENTO!L$15,ROW(C249)-ROW(C$15),0)</f>
        <v>F</v>
      </c>
      <c r="D249" s="146" t="str">
        <f ca="1">OFFSET(ORÇAMENTO!N$15,ROW(D249)-ROW(D$15),0)</f>
        <v>Serviço</v>
      </c>
      <c r="E249" s="206" t="str">
        <f ca="1">OFFSET(ORÇAMENTO!O$15,ROW(E249)-ROW(E$15),0)</f>
        <v>4.2.2.</v>
      </c>
      <c r="F249" s="207" t="str">
        <f ca="1">OFFSET(ORÇAMENTO!R$15,ROW(F249)-ROW(F$15),0)</f>
        <v>FIO DE COBRE, SOLIDO, CLASSE 1, ISOLACAO EM PVC/A, ANTICHAMA BWF-B, 450/750V, SECAO NOMINAL 4 MM2</v>
      </c>
      <c r="G249" s="208" t="str">
        <f ca="1">IF($D249&lt;&gt;"Serviço","",OFFSET(ORÇAMENTO!S$15,ROW(G249)-ROW(G$15),0))</f>
        <v xml:space="preserve">M     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17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24</v>
      </c>
      <c r="N249" s="212" t="str">
        <f ca="1">IF($D249&lt;&gt;"Serviço","",IF(AUTOEVENTO="Manual",IF($A249=0,"&lt;-- defina o número do agrupador",OFFSET(EVENTOS!$D$14,$A249,0)),OFFSET($F$15,$A249,0)))</f>
        <v>(INSTALAÇÕES ELÉTRICAS)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232</v>
      </c>
      <c r="B250" s="9" t="str">
        <f ca="1">OFFSET(ORÇAMENTO!C$15,ROW(B250)-ROW(B$15),0)</f>
        <v>S</v>
      </c>
      <c r="C250" s="9" t="str">
        <f ca="1">OFFSET(ORÇAMENTO!L$15,ROW(C250)-ROW(C$15),0)</f>
        <v>F</v>
      </c>
      <c r="D250" s="146" t="str">
        <f ca="1">OFFSET(ORÇAMENTO!N$15,ROW(D250)-ROW(D$15),0)</f>
        <v>Serviço</v>
      </c>
      <c r="E250" s="206" t="str">
        <f ca="1">OFFSET(ORÇAMENTO!O$15,ROW(E250)-ROW(E$15),0)</f>
        <v>4.2.3.</v>
      </c>
      <c r="F250" s="207" t="str">
        <f ca="1">OFFSET(ORÇAMENTO!R$15,ROW(F250)-ROW(F$15),0)</f>
        <v>INTERRUPTOR SIMPLES + INTERRUPTOR PARALELO 10A, 250V, CONJUNTO MONTADO PARA EMBUTIR 4" X 2" (PLACA + SUPORTE + MODULOS)</v>
      </c>
      <c r="G250" s="208" t="str">
        <f ca="1">IF($D250&lt;&gt;"Serviço","",OFFSET(ORÇAMENTO!S$15,ROW(G250)-ROW(G$15),0))</f>
        <v xml:space="preserve">UN    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1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24</v>
      </c>
      <c r="N250" s="212" t="str">
        <f ca="1">IF($D250&lt;&gt;"Serviço","",IF(AUTOEVENTO="Manual",IF($A250=0,"&lt;-- defina o número do agrupador",OFFSET(EVENTOS!$D$14,$A250,0)),OFFSET($F$15,$A250,0)))</f>
        <v>(INSTALAÇÕES ELÉTRICAS)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232</v>
      </c>
      <c r="B251" s="9" t="str">
        <f ca="1">OFFSET(ORÇAMENTO!C$15,ROW(B251)-ROW(B$15),0)</f>
        <v>S</v>
      </c>
      <c r="C251" s="9" t="str">
        <f ca="1">OFFSET(ORÇAMENTO!L$15,ROW(C251)-ROW(C$15),0)</f>
        <v>F</v>
      </c>
      <c r="D251" s="146" t="str">
        <f ca="1">OFFSET(ORÇAMENTO!N$15,ROW(D251)-ROW(D$15),0)</f>
        <v>Serviço</v>
      </c>
      <c r="E251" s="206" t="str">
        <f ca="1">OFFSET(ORÇAMENTO!O$15,ROW(E251)-ROW(E$15),0)</f>
        <v>4.2.4.</v>
      </c>
      <c r="F251" s="207" t="str">
        <f ca="1">OFFSET(ORÇAMENTO!R$15,ROW(F251)-ROW(F$15),0)</f>
        <v>TOMADA 2P+T 20A 250V, CONJUNTO MONTADO PARA EMBUTIR 4" X 2" (PLACA + SUPORTE + MODULO)</v>
      </c>
      <c r="G251" s="208" t="str">
        <f ca="1">IF($D251&lt;&gt;"Serviço","",OFFSET(ORÇAMENTO!S$15,ROW(G251)-ROW(G$15),0))</f>
        <v xml:space="preserve">UN    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1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24</v>
      </c>
      <c r="N251" s="212" t="str">
        <f ca="1">IF($D251&lt;&gt;"Serviço","",IF(AUTOEVENTO="Manual",IF($A251=0,"&lt;-- defina o número do agrupador",OFFSET(EVENTOS!$D$14,$A251,0)),OFFSET($F$15,$A251,0)))</f>
        <v>(INSTALAÇÕES ELÉTRICAS)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232</v>
      </c>
      <c r="B252" s="9" t="str">
        <f ca="1">OFFSET(ORÇAMENTO!C$15,ROW(B252)-ROW(B$15),0)</f>
        <v>S</v>
      </c>
      <c r="C252" s="9" t="str">
        <f ca="1">OFFSET(ORÇAMENTO!L$15,ROW(C252)-ROW(C$15),0)</f>
        <v>F</v>
      </c>
      <c r="D252" s="146" t="str">
        <f ca="1">OFFSET(ORÇAMENTO!N$15,ROW(D252)-ROW(D$15),0)</f>
        <v>Serviço</v>
      </c>
      <c r="E252" s="206" t="str">
        <f ca="1">OFFSET(ORÇAMENTO!O$15,ROW(E252)-ROW(E$15),0)</f>
        <v>4.2.5.</v>
      </c>
      <c r="F252" s="207" t="str">
        <f ca="1">OFFSET(ORÇAMENTO!R$15,ROW(F252)-ROW(F$15),0)</f>
        <v>SOQUETE DE PORCELANA BASE E27, FIXO DE TETO, PARA LAMPADAS</v>
      </c>
      <c r="G252" s="208" t="str">
        <f ca="1">IF($D252&lt;&gt;"Serviço","",OFFSET(ORÇAMENTO!S$15,ROW(G252)-ROW(G$15),0))</f>
        <v xml:space="preserve">UN    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2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24</v>
      </c>
      <c r="N252" s="212" t="str">
        <f ca="1">IF($D252&lt;&gt;"Serviço","",IF(AUTOEVENTO="Manual",IF($A252=0,"&lt;-- defina o número do agrupador",OFFSET(EVENTOS!$D$14,$A252,0)),OFFSET($F$15,$A252,0)))</f>
        <v>(INSTALAÇÕES ELÉTRICAS)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232</v>
      </c>
      <c r="B253" s="9" t="str">
        <f ca="1">OFFSET(ORÇAMENTO!C$15,ROW(B253)-ROW(B$15),0)</f>
        <v>S</v>
      </c>
      <c r="C253" s="9" t="str">
        <f ca="1">OFFSET(ORÇAMENTO!L$15,ROW(C253)-ROW(C$15),0)</f>
        <v>F</v>
      </c>
      <c r="D253" s="146" t="str">
        <f ca="1">OFFSET(ORÇAMENTO!N$15,ROW(D253)-ROW(D$15),0)</f>
        <v>Serviço</v>
      </c>
      <c r="E253" s="206" t="str">
        <f ca="1">OFFSET(ORÇAMENTO!O$15,ROW(E253)-ROW(E$15),0)</f>
        <v>4.2.6.</v>
      </c>
      <c r="F253" s="207" t="str">
        <f ca="1">OFFSET(ORÇAMENTO!R$15,ROW(F253)-ROW(F$15),0)</f>
        <v>LAMPADA FLUORESCENTE ESPIRAL BRANCA 45 W, BASE E27 (127/220 V)</v>
      </c>
      <c r="G253" s="208" t="str">
        <f ca="1">IF($D253&lt;&gt;"Serviço","",OFFSET(ORÇAMENTO!S$15,ROW(G253)-ROW(G$15),0))</f>
        <v xml:space="preserve">UN    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1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24</v>
      </c>
      <c r="N253" s="212" t="str">
        <f ca="1">IF($D253&lt;&gt;"Serviço","",IF(AUTOEVENTO="Manual",IF($A253=0,"&lt;-- defina o número do agrupador",OFFSET(EVENTOS!$D$14,$A253,0)),OFFSET($F$15,$A253,0)))</f>
        <v>(INSTALAÇÕES ELÉTRICAS)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232</v>
      </c>
      <c r="B254" s="9" t="str">
        <f ca="1">OFFSET(ORÇAMENTO!C$15,ROW(B254)-ROW(B$15),0)</f>
        <v>S</v>
      </c>
      <c r="C254" s="9" t="str">
        <f ca="1">OFFSET(ORÇAMENTO!L$15,ROW(C254)-ROW(C$15),0)</f>
        <v>F</v>
      </c>
      <c r="D254" s="146" t="str">
        <f ca="1">OFFSET(ORÇAMENTO!N$15,ROW(D254)-ROW(D$15),0)</f>
        <v>Serviço</v>
      </c>
      <c r="E254" s="206" t="str">
        <f ca="1">OFFSET(ORÇAMENTO!O$15,ROW(E254)-ROW(E$15),0)</f>
        <v>4.2.7.</v>
      </c>
      <c r="F254" s="207" t="str">
        <f ca="1">OFFSET(ORÇAMENTO!R$15,ROW(F254)-ROW(F$15),0)</f>
        <v>ELETRODUTO RÍGIDO ROSCÁVEL, PVC, DN 25 MM (3/4"), PARA CIRCUITOS TERMINAIS, INSTALADO EM FORRO - FORNECIMENTO E INSTALAÇÃO. AF_12/2015</v>
      </c>
      <c r="G254" s="208" t="str">
        <f ca="1">IF($D254&lt;&gt;"Serviço","",OFFSET(ORÇAMENTO!S$15,ROW(G254)-ROW(G$15),0))</f>
        <v>M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2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24</v>
      </c>
      <c r="N254" s="212" t="str">
        <f ca="1">IF($D254&lt;&gt;"Serviço","",IF(AUTOEVENTO="Manual",IF($A254=0,"&lt;-- defina o número do agrupador",OFFSET(EVENTOS!$D$14,$A254,0)),OFFSET($F$15,$A254,0)))</f>
        <v>(INSTALAÇÕES ELÉTRICAS)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232</v>
      </c>
      <c r="B255" s="9" t="str">
        <f ca="1">OFFSET(ORÇAMENTO!C$15,ROW(B255)-ROW(B$15),0)</f>
        <v>S</v>
      </c>
      <c r="C255" s="9" t="str">
        <f ca="1">OFFSET(ORÇAMENTO!L$15,ROW(C255)-ROW(C$15),0)</f>
        <v>F</v>
      </c>
      <c r="D255" s="146" t="str">
        <f ca="1">OFFSET(ORÇAMENTO!N$15,ROW(D255)-ROW(D$15),0)</f>
        <v>Serviço</v>
      </c>
      <c r="E255" s="206" t="str">
        <f ca="1">OFFSET(ORÇAMENTO!O$15,ROW(E255)-ROW(E$15),0)</f>
        <v>4.2.8.</v>
      </c>
      <c r="F255" s="207" t="str">
        <f ca="1">OFFSET(ORÇAMENTO!R$15,ROW(F255)-ROW(F$15),0)</f>
        <v>RASGO EM ALVENARIA PARA ELETRODUTOS COM DIAMETROS MENORES OU IGUAIS A 40 MM. AF_05/2015</v>
      </c>
      <c r="G255" s="208" t="str">
        <f ca="1">IF($D255&lt;&gt;"Serviço","",OFFSET(ORÇAMENTO!S$15,ROW(G255)-ROW(G$15),0))</f>
        <v>M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2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24</v>
      </c>
      <c r="N255" s="212" t="str">
        <f ca="1">IF($D255&lt;&gt;"Serviço","",IF(AUTOEVENTO="Manual",IF($A255=0,"&lt;-- defina o número do agrupador",OFFSET(EVENTOS!$D$14,$A255,0)),OFFSET($F$15,$A255,0)))</f>
        <v>(INSTALAÇÕES ELÉTRICAS)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232</v>
      </c>
      <c r="B256" s="9" t="str">
        <f ca="1">OFFSET(ORÇAMENTO!C$15,ROW(B256)-ROW(B$15),0)</f>
        <v>S</v>
      </c>
      <c r="C256" s="9" t="str">
        <f ca="1">OFFSET(ORÇAMENTO!L$15,ROW(C256)-ROW(C$15),0)</f>
        <v>F</v>
      </c>
      <c r="D256" s="146" t="str">
        <f ca="1">OFFSET(ORÇAMENTO!N$15,ROW(D256)-ROW(D$15),0)</f>
        <v>Serviço</v>
      </c>
      <c r="E256" s="206" t="str">
        <f ca="1">OFFSET(ORÇAMENTO!O$15,ROW(E256)-ROW(E$15),0)</f>
        <v>4.2.9.</v>
      </c>
      <c r="F256" s="207" t="str">
        <f ca="1">OFFSET(ORÇAMENTO!R$15,ROW(F256)-ROW(F$15),0)</f>
        <v>ELETRODUTO PVC FLEXIVEL CORRUGADO, COR AMARELA, DE 20 MM</v>
      </c>
      <c r="G256" s="208" t="str">
        <f ca="1">IF($D256&lt;&gt;"Serviço","",OFFSET(ORÇAMENTO!S$15,ROW(G256)-ROW(G$15),0))</f>
        <v xml:space="preserve">M     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6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24</v>
      </c>
      <c r="N256" s="212" t="str">
        <f ca="1">IF($D256&lt;&gt;"Serviço","",IF(AUTOEVENTO="Manual",IF($A256=0,"&lt;-- defina o número do agrupador",OFFSET(EVENTOS!$D$14,$A256,0)),OFFSET($F$15,$A256,0)))</f>
        <v>(INSTALAÇÕES ELÉTRICAS)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232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24</v>
      </c>
      <c r="N257" s="212" t="str">
        <f ca="1">IF($D257&lt;&gt;"Serviço","",IF(AUTOEVENTO="Manual",IF($A257=0,"&lt;-- defina o número do agrupador",OFFSET(EVENTOS!$D$14,$A257,0)),OFFSET($F$15,$A257,0)))</f>
        <v>(INSTALAÇÕES ELÉTRICAS)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232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24</v>
      </c>
      <c r="N258" s="212" t="str">
        <f ca="1">IF($D258&lt;&gt;"Serviço","",IF(AUTOEVENTO="Manual",IF($A258=0,"&lt;-- defina o número do agrupador",OFFSET(EVENTOS!$D$14,$A258,0)),OFFSET($F$15,$A258,0)))</f>
        <v>(INSTALAÇÕES ELÉTRICAS)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232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24</v>
      </c>
      <c r="N259" s="212" t="str">
        <f ca="1">IF($D259&lt;&gt;"Serviço","",IF(AUTOEVENTO="Manual",IF($A259=0,"&lt;-- defina o número do agrupador",OFFSET(EVENTOS!$D$14,$A259,0)),OFFSET($F$15,$A259,0)))</f>
        <v>(INSTALAÇÕES ELÉTRICAS)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232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24</v>
      </c>
      <c r="N260" s="212" t="str">
        <f ca="1">IF($D260&lt;&gt;"Serviço","",IF(AUTOEVENTO="Manual",IF($A260=0,"&lt;-- defina o número do agrupador",OFFSET(EVENTOS!$D$14,$A260,0)),OFFSET($F$15,$A260,0)))</f>
        <v>(INSTALAÇÕES ELÉTRICAS)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232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24</v>
      </c>
      <c r="N261" s="212" t="str">
        <f ca="1">IF($D261&lt;&gt;"Serviço","",IF(AUTOEVENTO="Manual",IF($A261=0,"&lt;-- defina o número do agrupador",OFFSET(EVENTOS!$D$14,$A261,0)),OFFSET($F$15,$A261,0)))</f>
        <v>(INSTALAÇÕES ELÉTRICAS)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232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24</v>
      </c>
      <c r="N262" s="212" t="str">
        <f ca="1">IF($D262&lt;&gt;"Serviço","",IF(AUTOEVENTO="Manual",IF($A262=0,"&lt;-- defina o número do agrupador",OFFSET(EVENTOS!$D$14,$A262,0)),OFFSET($F$15,$A262,0)))</f>
        <v>(INSTALAÇÕES ELÉTRICAS)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232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24</v>
      </c>
      <c r="N263" s="212" t="str">
        <f ca="1">IF($D263&lt;&gt;"Serviço","",IF(AUTOEVENTO="Manual",IF($A263=0,"&lt;-- defina o número do agrupador",OFFSET(EVENTOS!$D$14,$A263,0)),OFFSET($F$15,$A263,0)))</f>
        <v>(INSTALAÇÕES ELÉTRICAS)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232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24</v>
      </c>
      <c r="N264" s="212" t="str">
        <f ca="1">IF($D264&lt;&gt;"Serviço","",IF(AUTOEVENTO="Manual",IF($A264=0,"&lt;-- defina o número do agrupador",OFFSET(EVENTOS!$D$14,$A264,0)),OFFSET($F$15,$A264,0)))</f>
        <v>(INSTALAÇÕES ELÉTRICAS)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232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24</v>
      </c>
      <c r="N265" s="212" t="str">
        <f ca="1">IF($D265&lt;&gt;"Serviço","",IF(AUTOEVENTO="Manual",IF($A265=0,"&lt;-- defina o número do agrupador",OFFSET(EVENTOS!$D$14,$A265,0)),OFFSET($F$15,$A265,0)))</f>
        <v>(INSTALAÇÕES ELÉTRICAS)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 xml:space="preserve">CÉU AZUL 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43975</v>
      </c>
      <c r="I273" s="604" t="str">
        <f ca="1"/>
        <v>CREA/CAU: 27735/D</v>
      </c>
      <c r="K273" s="97"/>
      <c r="L273" s="97"/>
      <c r="T273" s="604" t="str">
        <f ca="1"/>
        <v>CREA/CAU: 27735/D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2" t="s">
        <v>407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31" t="s">
        <v>265</v>
      </c>
      <c r="D13" s="714" t="s">
        <v>266</v>
      </c>
      <c r="E13" s="714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1"/>
      <c r="E14" s="711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5" t="s">
        <v>268</v>
      </c>
      <c r="E15" s="715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1"/>
      <c r="E16" s="711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1"/>
      <c r="E17" s="711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1"/>
      <c r="E18" s="711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1"/>
      <c r="E19" s="711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1"/>
      <c r="E20" s="711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1"/>
      <c r="E21" s="711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1"/>
      <c r="E22" s="711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1"/>
      <c r="E23" s="711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1"/>
      <c r="E24" s="711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1"/>
      <c r="E25" s="711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1"/>
      <c r="E26" s="711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1"/>
      <c r="E27" s="711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1"/>
      <c r="E28" s="711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1"/>
      <c r="E29" s="711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1"/>
      <c r="E30" s="711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1"/>
      <c r="E31" s="711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1"/>
      <c r="E32" s="711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1"/>
      <c r="E33" s="711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1"/>
      <c r="E34" s="711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1"/>
      <c r="E35" s="711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1"/>
      <c r="E36" s="711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1"/>
      <c r="E37" s="711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1"/>
      <c r="E38" s="711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1"/>
      <c r="E39" s="711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1"/>
      <c r="E40" s="711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1"/>
      <c r="E41" s="711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1"/>
      <c r="E42" s="711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1"/>
      <c r="E43" s="711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1"/>
      <c r="E44" s="711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1"/>
      <c r="E45" s="711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1"/>
      <c r="E46" s="711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1"/>
      <c r="E47" s="711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1"/>
      <c r="E48" s="711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1"/>
      <c r="E49" s="711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1"/>
      <c r="E50" s="711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1"/>
      <c r="E51" s="711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1"/>
      <c r="E52" s="711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1"/>
      <c r="E53" s="711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1"/>
      <c r="E54" s="711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1"/>
      <c r="E55" s="711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1"/>
      <c r="E56" s="711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1"/>
      <c r="E57" s="711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1"/>
      <c r="E58" s="711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1"/>
      <c r="E59" s="711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1"/>
      <c r="E60" s="711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1"/>
      <c r="E61" s="711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1"/>
      <c r="E62" s="711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1"/>
      <c r="E63" s="711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1"/>
      <c r="E64" s="711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tabSelected="1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U48" sqref="U48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8" t="s">
        <v>139</v>
      </c>
      <c r="AE4" s="688"/>
    </row>
    <row r="5" spans="1:32" ht="15" x14ac:dyDescent="0.2">
      <c r="R5" s="107" t="str">
        <f>import.recurso</f>
        <v>(SELECIONAR)</v>
      </c>
      <c r="AD5" s="689" t="s">
        <v>142</v>
      </c>
      <c r="AE5" s="689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3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7" t="s">
        <v>208</v>
      </c>
      <c r="G8" s="723"/>
      <c r="H8" s="721">
        <f>Import.CR</f>
        <v>0</v>
      </c>
      <c r="I8" s="721"/>
      <c r="J8" s="274">
        <f>Import.SICONV</f>
        <v>0</v>
      </c>
      <c r="K8" s="720" t="str">
        <f>Import.Proponente</f>
        <v xml:space="preserve">MUNICIPIO DE CÉU AZUL </v>
      </c>
      <c r="L8" s="720"/>
      <c r="M8" s="720"/>
      <c r="N8" s="720"/>
      <c r="O8" s="720"/>
      <c r="P8" s="720"/>
      <c r="Q8" s="720"/>
      <c r="R8" s="720"/>
      <c r="S8" s="720"/>
      <c r="T8" s="721" t="str">
        <f>Import.Apelido</f>
        <v xml:space="preserve">REFORMA E AMPLIAÇÃO DA ESCOLA OLAVO BILAC </v>
      </c>
      <c r="U8" s="721"/>
      <c r="V8" s="721"/>
      <c r="W8" s="721"/>
      <c r="X8" s="721"/>
      <c r="Y8" s="717">
        <f>IF(TIPOORCAMENTO="Licitado",Import.empresa,Import.DescLote)</f>
        <v>0</v>
      </c>
      <c r="Z8" s="717"/>
      <c r="AA8" s="717"/>
      <c r="AB8" s="717"/>
      <c r="AC8" s="717"/>
      <c r="AD8" s="717"/>
      <c r="AE8" s="275" t="str">
        <f>IF(TIPOORCAMENTO="Licitado",Import.CTEF,"")</f>
        <v/>
      </c>
    </row>
    <row r="9" spans="1:32" x14ac:dyDescent="0.2">
      <c r="E9" s="144"/>
      <c r="F9" s="677"/>
      <c r="G9" s="723"/>
    </row>
    <row r="10" spans="1:32" x14ac:dyDescent="0.2">
      <c r="E10" s="267"/>
      <c r="F10" s="677"/>
      <c r="G10" s="276">
        <v>2</v>
      </c>
      <c r="J10" s="722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2"/>
      <c r="L10" s="722"/>
      <c r="M10" s="722"/>
      <c r="N10" s="722"/>
      <c r="O10" s="722"/>
      <c r="P10" s="722"/>
      <c r="Q10" s="722"/>
      <c r="R10" s="722"/>
      <c r="S10" s="722"/>
    </row>
    <row r="11" spans="1:32" ht="12.75" customHeight="1" x14ac:dyDescent="0.2">
      <c r="F11" s="677"/>
      <c r="H11" s="277"/>
      <c r="I11" s="277"/>
      <c r="J11" s="722"/>
      <c r="K11" s="722"/>
      <c r="L11" s="722"/>
      <c r="M11" s="722"/>
      <c r="N11" s="722"/>
      <c r="O11" s="722"/>
      <c r="P11" s="722"/>
      <c r="Q11" s="722"/>
      <c r="R11" s="722"/>
      <c r="S11" s="722"/>
    </row>
    <row r="12" spans="1:32" ht="12.75" customHeight="1" x14ac:dyDescent="0.2">
      <c r="D12" s="278">
        <f ca="1">OFFSET(D12,0,-1)+1</f>
        <v>1</v>
      </c>
      <c r="F12" s="136" t="s">
        <v>216</v>
      </c>
      <c r="G12" s="725" t="s">
        <v>273</v>
      </c>
      <c r="H12" s="726" t="s">
        <v>230</v>
      </c>
      <c r="I12" s="727" t="s">
        <v>233</v>
      </c>
      <c r="J12" s="279"/>
      <c r="K12" s="279"/>
      <c r="L12" s="280"/>
      <c r="M12" s="280"/>
      <c r="N12" s="280"/>
      <c r="O12" s="280"/>
      <c r="P12" s="280"/>
      <c r="Q12" s="280"/>
      <c r="R12" s="718" t="s">
        <v>274</v>
      </c>
      <c r="S12" s="719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5"/>
      <c r="H13" s="726"/>
      <c r="I13" s="727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8"/>
      <c r="S13" s="719"/>
      <c r="T13" s="288">
        <v>43983</v>
      </c>
      <c r="U13" s="284">
        <f ca="1">OFFSET(U13,0,-1)+41-DAY(OFFSET(U13,0,-1)+40)</f>
        <v>44013</v>
      </c>
      <c r="V13" s="284">
        <f ca="1">OFFSET(V13,0,-1)+41-DAY(OFFSET(V13,0,-1)+40)</f>
        <v>44044</v>
      </c>
      <c r="W13" s="284">
        <f t="shared" ref="W13:AE13" ca="1" si="2">OFFSET(W13,0,-1)+41-DAY(OFFSET(W13,0,-1)+40)</f>
        <v>44075</v>
      </c>
      <c r="X13" s="284">
        <f t="shared" ca="1" si="2"/>
        <v>44105</v>
      </c>
      <c r="Y13" s="284">
        <f t="shared" ca="1" si="2"/>
        <v>44136</v>
      </c>
      <c r="Z13" s="284">
        <f t="shared" ca="1" si="2"/>
        <v>44166</v>
      </c>
      <c r="AA13" s="284">
        <f t="shared" ca="1" si="2"/>
        <v>44197</v>
      </c>
      <c r="AB13" s="284">
        <f t="shared" ca="1" si="2"/>
        <v>44228</v>
      </c>
      <c r="AC13" s="284">
        <f t="shared" ca="1" si="2"/>
        <v>44256</v>
      </c>
      <c r="AD13" s="284">
        <f t="shared" ca="1" si="2"/>
        <v>44287</v>
      </c>
      <c r="AE13" s="289">
        <f t="shared" ca="1" si="2"/>
        <v>44317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(VESTIÁRIO LAVANDERIA / COZINHA)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20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20</v>
      </c>
      <c r="R14" s="248">
        <f ca="1">IF($E15=0,OFFSET(ORÇAMENTO!X$15,$E14,0),IF($E15&lt;&gt;-1,OFFSET(QCI!$O$13,$E15,0),""))</f>
        <v>58864.160000000003</v>
      </c>
      <c r="S14" s="249" t="s">
        <v>269</v>
      </c>
      <c r="T14" s="250">
        <f t="shared" ref="T14:AE14" ca="1" si="3">IF(AND($Q14=2,ACOMPANHAMENTO="BM"),T15,T16/$R14)</f>
        <v>0</v>
      </c>
      <c r="U14" s="242">
        <f t="shared" ca="1" si="3"/>
        <v>0</v>
      </c>
      <c r="V14" s="242">
        <f t="shared" ca="1" si="3"/>
        <v>0.75293077315636547</v>
      </c>
      <c r="W14" s="242">
        <f t="shared" ca="1" si="3"/>
        <v>0.24706922684363453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0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44320.637500000004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14543.522499999999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(SERVIÇOS INICIAIS)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17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1517.15</v>
      </c>
      <c r="S17" s="249" t="s">
        <v>269</v>
      </c>
      <c r="T17" s="250">
        <f t="shared" ref="T17:AE17" ca="1" si="4">IF(AND($Q17=2,ACOMPANHAMENTO="BM"),T18,T19/$R17)</f>
        <v>0</v>
      </c>
      <c r="U17" s="242">
        <f t="shared" ca="1" si="4"/>
        <v>0</v>
      </c>
      <c r="V17" s="242">
        <f t="shared" ca="1" si="4"/>
        <v>1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>
        <v>1</v>
      </c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0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1517.15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1.0000000000000002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6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(FUNDAÇÕES RASAS, VIGAS, PILARES, VIGAS BALDRAME)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14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29433.9</v>
      </c>
      <c r="S20" s="249" t="s">
        <v>269</v>
      </c>
      <c r="T20" s="250">
        <f t="shared" ref="T20:AE20" ca="1" si="5">IF(AND($Q20=2,ACOMPANHAMENTO="BM"),T21,T22/$R20)</f>
        <v>0</v>
      </c>
      <c r="U20" s="242">
        <f t="shared" ca="1" si="5"/>
        <v>0</v>
      </c>
      <c r="V20" s="242">
        <f t="shared" ca="1" si="5"/>
        <v>1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>
        <v>1</v>
      </c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0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29433.9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1.0000000000000002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21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(REVESTIMENTOS)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11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16364.91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</v>
      </c>
      <c r="V23" s="242">
        <f t="shared" ca="1" si="6"/>
        <v>0.5</v>
      </c>
      <c r="W23" s="242">
        <f t="shared" ca="1" si="6"/>
        <v>0.5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>
        <v>0.5</v>
      </c>
      <c r="W24" s="620">
        <v>0.5</v>
      </c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8182.4549999999999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8182.4549999999999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33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(ESQUADRIAS METALICAS/PORTAS DE MADEIRA)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8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3167.21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</v>
      </c>
      <c r="V26" s="242">
        <f t="shared" ca="1" si="7"/>
        <v>0.5</v>
      </c>
      <c r="W26" s="242">
        <f t="shared" ca="1" si="7"/>
        <v>0.5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>
        <v>0.5</v>
      </c>
      <c r="W27" s="620">
        <v>0.5</v>
      </c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1583.605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1583.605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41</v>
      </c>
      <c r="F29" s="239" t="str">
        <f ca="1">IF(AND($E30&lt;&gt;-1,$R29&gt;0),"F","")</f>
        <v>F</v>
      </c>
      <c r="G29" s="243">
        <f ca="1">IF(OR(R29=0,R29=""),"Linha",IF(AND(OR(ACOMPANHAMENTO="PLE",$Q29&lt;&gt;2),$E30=0),"Linha",1-SUM(T29:AF29)))</f>
        <v>0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(INSTALAÇÕES ELETRICAS)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5</v>
      </c>
      <c r="N29" s="247">
        <f ca="1">IF($E30=-1,0,IF(N$13&lt;=$L29,IF(ISERROR(MATCH(N$13,OFFSET($L29,1,0,ROW($L$164)-ROW($L29)-1),0)),ROW($L$164)-ROW($L29)-1,MATCH(N$13,OFFSET($L29,1,0,ROW($L$164)-ROW($L29)-1),0)-1),0))</f>
        <v>2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2347.87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0.25</v>
      </c>
      <c r="W29" s="242">
        <f t="shared" ca="1" si="8"/>
        <v>0.75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--&gt;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>
        <v>0.25</v>
      </c>
      <c r="W30" s="620">
        <v>0.75</v>
      </c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586.96749999999997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1760.9024999999999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1.0000000000000002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56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1.6.</v>
      </c>
      <c r="I32" s="245" t="str">
        <f ca="1">IF($E33=0,OFFSET(ORÇAMENTO!R$15,$E32,0),IF($E33&lt;&gt;-1,OFFSET(QCI!$G$13,$E33,0),""))</f>
        <v>(INSTALAÇÕES HIDRAULICAS)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5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6033.12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</v>
      </c>
      <c r="V32" s="242">
        <f t="shared" ca="1" si="9"/>
        <v>0.5</v>
      </c>
      <c r="W32" s="242">
        <f t="shared" ca="1" si="9"/>
        <v>0.5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>
        <v>0.5</v>
      </c>
      <c r="W33" s="620">
        <v>0.5</v>
      </c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3016.56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3016.56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0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76</v>
      </c>
      <c r="F35" s="239" t="str">
        <f ca="1">IF(AND($E36&lt;&gt;-1,$R35&gt;0),"F","")</f>
        <v>F</v>
      </c>
      <c r="G35" s="243" t="str">
        <f ca="1">IF(OR(R35=0,R35=""),"Linha",IF(AND(OR(ACOMPANHAMENTO="PLE",$Q35&lt;&gt;2),$E36=0),"Linha",1-SUM(T35:AF35)))</f>
        <v>Linha</v>
      </c>
      <c r="H35" s="244" t="str">
        <f ca="1">IF($E36=0,OFFSET(ORÇAMENTO!O$15,$E35,0),IF($E36&lt;&gt;-1,OFFSET(QCI!$D$13,$E36,0),""))</f>
        <v>2.</v>
      </c>
      <c r="I35" s="245" t="str">
        <f ca="1">IF($E36=0,OFFSET(ORÇAMENTO!R$15,$E35,0),IF($E36&lt;&gt;-1,OFFSET(QCI!$G$13,$E36,0),""))</f>
        <v>(SALA DE AULA)</v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20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20</v>
      </c>
      <c r="R35" s="248">
        <f ca="1">IF($E36=0,OFFSET(ORÇAMENTO!X$15,$E35,0),IF($E36&lt;&gt;-1,OFFSET(QCI!$O$13,$E36,0),""))</f>
        <v>60698.32</v>
      </c>
      <c r="S35" s="249" t="s">
        <v>269</v>
      </c>
      <c r="T35" s="250">
        <f t="shared" ref="T35:AE35" ca="1" si="10">IF(AND($Q35=2,ACOMPANHAMENTO="BM"),T36,T37/$R35)</f>
        <v>0.28749284164701761</v>
      </c>
      <c r="U35" s="242">
        <f t="shared" ca="1" si="10"/>
        <v>0.32971678623065676</v>
      </c>
      <c r="V35" s="242">
        <f t="shared" ca="1" si="10"/>
        <v>0.38279037212232564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calculada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17450.3325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20013.254999999997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23234.732500000002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0.99999999999999989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77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2.1.</v>
      </c>
      <c r="I38" s="245" t="str">
        <f ca="1">IF($E39=0,OFFSET(ORÇAMENTO!R$15,$E38,0),IF($E39&lt;&gt;-1,OFFSET(QCI!$G$13,$E39,0),""))</f>
        <v>(FUNDAÇÕES RASAS , VIGAS , PILARES, VIGAS BALDRAME)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17</v>
      </c>
      <c r="N38" s="247">
        <f ca="1">IF($E39=-1,0,IF(N$13&lt;=$L38,IF(ISERROR(MATCH(N$13,OFFSET($L38,1,0,ROW($L$164)-ROW($L38)-1),0)),ROW($L$164)-ROW($L38)-1,MATCH(N$13,OFFSET($L38,1,0,ROW($L$164)-ROW($L38)-1),0)-1),0))</f>
        <v>2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14379.51</v>
      </c>
      <c r="S38" s="249" t="s">
        <v>269</v>
      </c>
      <c r="T38" s="250">
        <f t="shared" ref="T38:AE38" ca="1" si="11">IF(AND($Q38=2,ACOMPANHAMENTO="BM"),T39,T40/$R38)</f>
        <v>1</v>
      </c>
      <c r="U38" s="242">
        <f t="shared" ca="1" si="11"/>
        <v>0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>
        <v>1</v>
      </c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14379.51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86</v>
      </c>
      <c r="F41" s="239" t="str">
        <f ca="1">IF(AND($E42&lt;&gt;-1,$R41&gt;0),"F","")</f>
        <v>F</v>
      </c>
      <c r="G41" s="243">
        <f ca="1">IF(OR(R41=0,R41=""),"Linha",IF(AND(OR(ACOMPANHAMENTO="PLE",$Q41&lt;&gt;2),$E42=0),"Linha",1-SUM(T41:AF41)))</f>
        <v>0</v>
      </c>
      <c r="H41" s="244" t="str">
        <f ca="1">IF($E42=0,OFFSET(ORÇAMENTO!O$15,$E41,0),IF($E42&lt;&gt;-1,OFFSET(QCI!$D$13,$E42,0),""))</f>
        <v>2.2.</v>
      </c>
      <c r="I41" s="245" t="str">
        <f ca="1">IF($E42=0,OFFSET(ORÇAMENTO!R$15,$E41,0),IF($E42&lt;&gt;-1,OFFSET(QCI!$G$13,$E42,0),""))</f>
        <v>(COBERTURAS / ESTRUTURA METALICA)</v>
      </c>
      <c r="J41" s="245"/>
      <c r="K41" s="245"/>
      <c r="L41" s="246">
        <f ca="1">IF($E42=0,OFFSET(ORÇAMENTO!C$15,$E41,0),1)</f>
        <v>2</v>
      </c>
      <c r="M41" s="247">
        <f ca="1">IF($E42=-1,0,IF(M$13&lt;=$L41,IF(ISERROR(MATCH(M$13,OFFSET($L41,1,0,ROW($L$164)-ROW($L41)-1),0)),ROW($L$164)-ROW($L41)-1,MATCH(M$13,OFFSET($L41,1,0,ROW($L$164)-ROW($L41)-1),0)-1),0))</f>
        <v>14</v>
      </c>
      <c r="N41" s="247">
        <f ca="1">IF($E42=-1,0,IF(N$13&lt;=$L41,IF(ISERROR(MATCH(N$13,OFFSET($L41,1,0,ROW($L$164)-ROW($L41)-1),0)),ROW($L$164)-ROW($L41)-1,MATCH(N$13,OFFSET($L41,1,0,ROW($L$164)-ROW($L41)-1),0)-1),0))</f>
        <v>2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13063.01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0.5</v>
      </c>
      <c r="V41" s="242">
        <f t="shared" ca="1" si="12"/>
        <v>0.5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--&gt;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>
        <v>0.5</v>
      </c>
      <c r="V42" s="620">
        <v>0.5</v>
      </c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2$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6531.5050000000001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6531.5050000000001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93</v>
      </c>
      <c r="F44" s="239" t="str">
        <f ca="1">IF(AND($E45&lt;&gt;-1,$R44&gt;0),"F","")</f>
        <v>F</v>
      </c>
      <c r="G44" s="243">
        <f ca="1">IF(OR(R44=0,R44=""),"Linha",IF(AND(OR(ACOMPANHAMENTO="PLE",$Q44&lt;&gt;2),$E45=0),"Linha",1-SUM(T44:AF44)))</f>
        <v>0</v>
      </c>
      <c r="H44" s="244" t="str">
        <f ca="1">IF($E45=0,OFFSET(ORÇAMENTO!O$15,$E44,0),IF($E45&lt;&gt;-1,OFFSET(QCI!$D$13,$E45,0),""))</f>
        <v>2.3.</v>
      </c>
      <c r="I44" s="245" t="str">
        <f ca="1">IF($E45=0,OFFSET(ORÇAMENTO!R$15,$E44,0),IF($E45&lt;&gt;-1,OFFSET(QCI!$G$13,$E45,0),""))</f>
        <v>(REVESTIMENTOS)</v>
      </c>
      <c r="J44" s="245"/>
      <c r="K44" s="245"/>
      <c r="L44" s="246">
        <f ca="1">IF($E45=0,OFFSET(ORÇAMENTO!C$15,$E44,0),1)</f>
        <v>2</v>
      </c>
      <c r="M44" s="247">
        <f ca="1">IF($E45=-1,0,IF(M$13&lt;=$L44,IF(ISERROR(MATCH(M$13,OFFSET($L44,1,0,ROW($L$164)-ROW($L44)-1),0)),ROW($L$164)-ROW($L44)-1,MATCH(M$13,OFFSET($L44,1,0,ROW($L$164)-ROW($L44)-1),0)-1),0))</f>
        <v>11</v>
      </c>
      <c r="N44" s="247">
        <f ca="1">IF($E45=-1,0,IF(N$13&lt;=$L44,IF(ISERROR(MATCH(N$13,OFFSET($L44,1,0,ROW($L$164)-ROW($L44)-1),0)),ROW($L$164)-ROW($L44)-1,MATCH(N$13,OFFSET($L44,1,0,ROW($L$164)-ROW($L44)-1),0)-1),0))</f>
        <v>2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16156.13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0.5</v>
      </c>
      <c r="V44" s="242">
        <f t="shared" ca="1" si="13"/>
        <v>0.5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--&gt;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>
        <v>0.5</v>
      </c>
      <c r="V45" s="620">
        <v>0.5</v>
      </c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2$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8078.0649999999996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8078.0649999999996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0</v>
      </c>
      <c r="D47" s="242">
        <f ca="1">IF(AND($Q47=2,ACOMPANHAMENTO="BM"),D48,D49/$R47)</f>
        <v>0</v>
      </c>
      <c r="E47" s="239">
        <f ca="1">IF(A47&lt;=ORÇAMENTO.MáximoListaCrono,MATCH(A47,ORÇAMENTO.ListaCrono,0),NA())</f>
        <v>105</v>
      </c>
      <c r="F47" s="239" t="str">
        <f ca="1">IF(AND($E48&lt;&gt;-1,$R47&gt;0),"F","")</f>
        <v>F</v>
      </c>
      <c r="G47" s="243">
        <f ca="1">IF(OR(R47=0,R47=""),"Linha",IF(AND(OR(ACOMPANHAMENTO="PLE",$Q47&lt;&gt;2),$E48=0),"Linha",1-SUM(T47:AF47)))</f>
        <v>0</v>
      </c>
      <c r="H47" s="244" t="str">
        <f ca="1">IF($E48=0,OFFSET(ORÇAMENTO!O$15,$E47,0),IF($E48&lt;&gt;-1,OFFSET(QCI!$D$13,$E48,0),""))</f>
        <v>2.4.</v>
      </c>
      <c r="I47" s="245" t="str">
        <f ca="1">IF($E48=0,OFFSET(ORÇAMENTO!R$15,$E47,0),IF($E48&lt;&gt;-1,OFFSET(QCI!$G$13,$E48,0),""))</f>
        <v>(ESQUADRIAS METALICAS / PORTAS METALICAS)</v>
      </c>
      <c r="J47" s="245"/>
      <c r="K47" s="245"/>
      <c r="L47" s="246">
        <f ca="1">IF($E48=0,OFFSET(ORÇAMENTO!C$15,$E47,0),1)</f>
        <v>2</v>
      </c>
      <c r="M47" s="247">
        <f ca="1">IF($E48=-1,0,IF(M$13&lt;=$L47,IF(ISERROR(MATCH(M$13,OFFSET($L47,1,0,ROW($L$164)-ROW($L47)-1),0)),ROW($L$164)-ROW($L47)-1,MATCH(M$13,OFFSET($L47,1,0,ROW($L$164)-ROW($L47)-1),0)-1),0))</f>
        <v>8</v>
      </c>
      <c r="N47" s="247">
        <f ca="1">IF($E48=-1,0,IF(N$13&lt;=$L47,IF(ISERROR(MATCH(N$13,OFFSET($L47,1,0,ROW($L$164)-ROW($L47)-1),0)),ROW($L$164)-ROW($L47)-1,MATCH(N$13,OFFSET($L47,1,0,ROW($L$164)-ROW($L47)-1),0)-1),0))</f>
        <v>2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9331.4500000000007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0.25</v>
      </c>
      <c r="V47" s="242">
        <f t="shared" ca="1" si="14"/>
        <v>0.75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customHeight="1" x14ac:dyDescent="0.2">
      <c r="D48" s="620"/>
      <c r="E48" s="239">
        <f ca="1">IF(ISERROR(E47),IF(1+COUNTIF($L$13:OFFSET(L47,-1,0),1)&lt;=MAX(QCI!$D$13:$D$24),1+COUNTIF($L$13:OFFSET(L47,-1,0),1),-1),0)</f>
        <v>0</v>
      </c>
      <c r="F48" s="239" t="str">
        <f ca="1">IF(AND($E48&lt;&gt;-1,$R47&gt;0),"F","")</f>
        <v>F</v>
      </c>
      <c r="G48" s="252" t="str">
        <f ca="1">IF(OR(R47=0,R47=""),"vazia",IF(AND(OR(ACOMPANHAMENTO="PLE",$Q47&lt;&gt;2),$E48=0),"calculada","--&gt;"))</f>
        <v>--&gt;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>
        <v>0.25</v>
      </c>
      <c r="V48" s="620">
        <v>0.75</v>
      </c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2$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2332.8625000000002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6998.5875000000005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0</v>
      </c>
      <c r="D50" s="242">
        <f ca="1">IF(AND($Q50=2,ACOMPANHAMENTO="BM"),D51,D52/$R50)</f>
        <v>0</v>
      </c>
      <c r="E50" s="239">
        <f ca="1">IF(A50&lt;=ORÇAMENTO.MáximoListaCrono,MATCH(A50,ORÇAMENTO.ListaCrono,0),NA())</f>
        <v>112</v>
      </c>
      <c r="F50" s="239" t="str">
        <f ca="1">IF(AND($E51&lt;&gt;-1,$R50&gt;0),"F","")</f>
        <v>F</v>
      </c>
      <c r="G50" s="243">
        <f ca="1">IF(OR(R50=0,R50=""),"Linha",IF(AND(OR(ACOMPANHAMENTO="PLE",$Q50&lt;&gt;2),$E51=0),"Linha",1-SUM(T50:AF50)))</f>
        <v>0</v>
      </c>
      <c r="H50" s="244" t="str">
        <f ca="1">IF($E51=0,OFFSET(ORÇAMENTO!O$15,$E50,0),IF($E51&lt;&gt;-1,OFFSET(QCI!$D$13,$E51,0),""))</f>
        <v>2.5.</v>
      </c>
      <c r="I50" s="245" t="str">
        <f ca="1">IF($E51=0,OFFSET(ORÇAMENTO!R$15,$E50,0),IF($E51&lt;&gt;-1,OFFSET(QCI!$G$13,$E51,0),""))</f>
        <v>(INSTALAÇÕES ELÉTRICAS)</v>
      </c>
      <c r="J50" s="245"/>
      <c r="K50" s="245"/>
      <c r="L50" s="246">
        <f ca="1">IF($E51=0,OFFSET(ORÇAMENTO!C$15,$E50,0),1)</f>
        <v>2</v>
      </c>
      <c r="M50" s="247">
        <f ca="1">IF($E51=-1,0,IF(M$13&lt;=$L50,IF(ISERROR(MATCH(M$13,OFFSET($L50,1,0,ROW($L$164)-ROW($L50)-1),0)),ROW($L$164)-ROW($L50)-1,MATCH(M$13,OFFSET($L50,1,0,ROW($L$164)-ROW($L50)-1),0)-1),0))</f>
        <v>5</v>
      </c>
      <c r="N50" s="247">
        <f ca="1">IF($E51=-1,0,IF(N$13&lt;=$L50,IF(ISERROR(MATCH(N$13,OFFSET($L50,1,0,ROW($L$164)-ROW($L50)-1),0)),ROW($L$164)-ROW($L50)-1,MATCH(N$13,OFFSET($L50,1,0,ROW($L$164)-ROW($L50)-1),0)-1),0))</f>
        <v>2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3253.15</v>
      </c>
      <c r="S50" s="249" t="s">
        <v>269</v>
      </c>
      <c r="T50" s="250">
        <f t="shared" ref="T50:AE50" ca="1" si="15">IF(AND($Q50=2,ACOMPANHAMENTO="BM"),T51,T52/$R50)</f>
        <v>0.25</v>
      </c>
      <c r="U50" s="242">
        <f t="shared" ca="1" si="15"/>
        <v>0.25</v>
      </c>
      <c r="V50" s="242">
        <f t="shared" ca="1" si="15"/>
        <v>0.5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customHeight="1" x14ac:dyDescent="0.2">
      <c r="D51" s="620"/>
      <c r="E51" s="239">
        <f ca="1">IF(ISERROR(E50),IF(1+COUNTIF($L$13:OFFSET(L50,-1,0),1)&lt;=MAX(QCI!$D$13:$D$24),1+COUNTIF($L$13:OFFSET(L50,-1,0),1),-1),0)</f>
        <v>0</v>
      </c>
      <c r="F51" s="239" t="str">
        <f ca="1">IF(AND($E51&lt;&gt;-1,$R50&gt;0),"F","")</f>
        <v>F</v>
      </c>
      <c r="G51" s="252" t="str">
        <f ca="1">IF(OR(R50=0,R50=""),"vazia",IF(AND(OR(ACOMPANHAMENTO="PLE",$Q50&lt;&gt;2),$E51=0),"calculada","--&gt;"))</f>
        <v>--&gt;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>
        <v>0.25</v>
      </c>
      <c r="U51" s="620">
        <v>0.25</v>
      </c>
      <c r="V51" s="620">
        <v>0.5</v>
      </c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2$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813.28750000000002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813.28750000000002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1626.575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0</v>
      </c>
      <c r="D53" s="242">
        <f ca="1">IF(AND($Q53=2,ACOMPANHAMENTO="BM"),D54,D55/$R53)</f>
        <v>0</v>
      </c>
      <c r="E53" s="239">
        <f ca="1">IF(A53&lt;=ORÇAMENTO.MáximoListaCrono,MATCH(A53,ORÇAMENTO.ListaCrono,0),NA())</f>
        <v>128</v>
      </c>
      <c r="F53" s="239" t="str">
        <f ca="1">IF(AND($E54&lt;&gt;-1,$R53&gt;0),"F","")</f>
        <v>F</v>
      </c>
      <c r="G53" s="243">
        <f ca="1">IF(OR(R53=0,R53=""),"Linha",IF(AND(OR(ACOMPANHAMENTO="PLE",$Q53&lt;&gt;2),$E54=0),"Linha",1-SUM(T53:AF53)))</f>
        <v>0</v>
      </c>
      <c r="H53" s="244" t="str">
        <f ca="1">IF($E54=0,OFFSET(ORÇAMENTO!O$15,$E53,0),IF($E54&lt;&gt;-1,OFFSET(QCI!$D$13,$E54,0),""))</f>
        <v>2.6.</v>
      </c>
      <c r="I53" s="245" t="str">
        <f ca="1">IF($E54=0,OFFSET(ORÇAMENTO!R$15,$E53,0),IF($E54&lt;&gt;-1,OFFSET(QCI!$G$13,$E54,0),""))</f>
        <v>(COBERTURA ALUZINCO)</v>
      </c>
      <c r="J53" s="245"/>
      <c r="K53" s="245"/>
      <c r="L53" s="246">
        <f ca="1">IF($E54=0,OFFSET(ORÇAMENTO!C$15,$E53,0),1)</f>
        <v>2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5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4515.07</v>
      </c>
      <c r="S53" s="249" t="s">
        <v>269</v>
      </c>
      <c r="T53" s="250">
        <f t="shared" ref="T53:AE53" ca="1" si="16">IF(AND($Q53=2,ACOMPANHAMENTO="BM"),T54,T55/$R53)</f>
        <v>0.5</v>
      </c>
      <c r="U53" s="242">
        <f t="shared" ca="1" si="16"/>
        <v>0.5</v>
      </c>
      <c r="V53" s="242">
        <f t="shared" ca="1" si="16"/>
        <v>0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customHeight="1" x14ac:dyDescent="0.2">
      <c r="D54" s="620"/>
      <c r="E54" s="239">
        <f ca="1">IF(ISERROR(E53),IF(1+COUNTIF($L$13:OFFSET(L53,-1,0),1)&lt;=MAX(QCI!$D$13:$D$24),1+COUNTIF($L$13:OFFSET(L53,-1,0),1),-1),0)</f>
        <v>0</v>
      </c>
      <c r="F54" s="239" t="str">
        <f ca="1">IF(AND($E54&lt;&gt;-1,$R53&gt;0),"F","")</f>
        <v>F</v>
      </c>
      <c r="G54" s="252" t="str">
        <f ca="1">IF(OR(R53=0,R53=""),"vazia",IF(AND(OR(ACOMPANHAMENTO="PLE",$Q53&lt;&gt;2),$E54=0),"calculada","--&gt;"))</f>
        <v>--&gt;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>
        <v>0.5</v>
      </c>
      <c r="U54" s="620">
        <v>0.5</v>
      </c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2$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2257.5349999999999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2257.5349999999999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>
        <f ca="1">IF(AND($Q56=2,ACOMPANHAMENTO="BM"),D57,D58/$R56)</f>
        <v>0</v>
      </c>
      <c r="E56" s="239">
        <f ca="1">IF(A56&lt;=ORÇAMENTO.MáximoListaCrono,MATCH(A56,ORÇAMENTO.ListaCrono,0),NA())</f>
        <v>133</v>
      </c>
      <c r="F56" s="239" t="str">
        <f ca="1">IF(AND($E57&lt;&gt;-1,$R56&gt;0),"F","")</f>
        <v>F</v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>3.</v>
      </c>
      <c r="I56" s="245" t="str">
        <f ca="1">IF($E57=0,OFFSET(ORÇAMENTO!R$15,$E56,0),IF($E57&lt;&gt;-1,OFFSET(QCI!$G$13,$E57,0),""))</f>
        <v>(COZINHA)</v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29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29</v>
      </c>
      <c r="R56" s="248">
        <f ca="1">IF($E57=0,OFFSET(ORÇAMENTO!X$15,$E56,0),IF($E57&lt;&gt;-1,OFFSET(QCI!$O$13,$E57,0),""))</f>
        <v>36338.35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0.50078402018803825</v>
      </c>
      <c r="W56" s="242">
        <f t="shared" ca="1" si="17"/>
        <v>0.49921597981196181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customHeight="1" x14ac:dyDescent="0.2">
      <c r="D57" s="620"/>
      <c r="E57" s="239">
        <f ca="1">IF(ISERROR(E56),IF(1+COUNTIF($L$13:OFFSET(L56,-1,0),1)&lt;=MAX(QCI!$D$13:$D$24),1+COUNTIF($L$13:OFFSET(L56,-1,0),1),-1),0)</f>
        <v>0</v>
      </c>
      <c r="F57" s="239" t="str">
        <f ca="1">IF(AND($E57&lt;&gt;-1,$R56&gt;0),"F","")</f>
        <v>F</v>
      </c>
      <c r="G57" s="252" t="str">
        <f ca="1">IF(OR(R56=0,R56=""),"vazia",IF(AND(OR(ACOMPANHAMENTO="PLE",$Q56&lt;&gt;2),$E57=0),"calculada","--&gt;"))</f>
        <v>calculada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18197.665000000001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18140.685000000001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1.0000000000000002</v>
      </c>
      <c r="C59" s="239">
        <f ca="1">IF($Q59&lt;&gt;2,0,IF($R59=0,1,IF(E60&gt;0,OFFSET(QCI!$N$13,SUBSTITUTE(E60,".",""),0),OFFSET(ORÇAMENTO!$AB$15,CRONO!$E59,0))/$R59))</f>
        <v>0</v>
      </c>
      <c r="D59" s="242">
        <f ca="1">IF(AND($Q59=2,ACOMPANHAMENTO="BM"),D60,D61/$R59)</f>
        <v>0</v>
      </c>
      <c r="E59" s="239">
        <f ca="1">IF(A59&lt;=ORÇAMENTO.MáximoListaCrono,MATCH(A59,ORÇAMENTO.ListaCrono,0),NA())</f>
        <v>134</v>
      </c>
      <c r="F59" s="239" t="str">
        <f ca="1">IF(AND($E60&lt;&gt;-1,$R59&gt;0),"F","")</f>
        <v>F</v>
      </c>
      <c r="G59" s="243">
        <f ca="1">IF(OR(R59=0,R59=""),"Linha",IF(AND(OR(ACOMPANHAMENTO="PLE",$Q59&lt;&gt;2),$E60=0),"Linha",1-SUM(T59:AF59)))</f>
        <v>0</v>
      </c>
      <c r="H59" s="244" t="str">
        <f ca="1">IF($E60=0,OFFSET(ORÇAMENTO!O$15,$E59,0),IF($E60&lt;&gt;-1,OFFSET(QCI!$D$13,$E60,0),""))</f>
        <v>3.1.</v>
      </c>
      <c r="I59" s="245" t="str">
        <f ca="1">IF($E60=0,OFFSET(ORÇAMENTO!R$15,$E59,0),IF($E60&lt;&gt;-1,OFFSET(QCI!$G$13,$E60,0),""))</f>
        <v>(FUNDAÇÕES RASAS, VIGA BALDRAME, PILARES, VIGAS)</v>
      </c>
      <c r="J59" s="245"/>
      <c r="K59" s="245"/>
      <c r="L59" s="246">
        <f ca="1">IF($E60=0,OFFSET(ORÇAMENTO!C$15,$E59,0),1)</f>
        <v>2</v>
      </c>
      <c r="M59" s="247">
        <f ca="1">IF($E60=-1,0,IF(M$13&lt;=$L59,IF(ISERROR(MATCH(M$13,OFFSET($L59,1,0,ROW($L$164)-ROW($L59)-1),0)),ROW($L$164)-ROW($L59)-1,MATCH(M$13,OFFSET($L59,1,0,ROW($L$164)-ROW($L59)-1),0)-1),0))</f>
        <v>26</v>
      </c>
      <c r="N59" s="247">
        <f ca="1">IF($E60=-1,0,IF(N$13&lt;=$L59,IF(ISERROR(MATCH(N$13,OFFSET($L59,1,0,ROW($L$164)-ROW($L59)-1),0)),ROW($L$164)-ROW($L59)-1,MATCH(N$13,OFFSET($L59,1,0,ROW($L$164)-ROW($L59)-1),0)-1),0))</f>
        <v>2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3655.4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1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customHeight="1" x14ac:dyDescent="0.2">
      <c r="D60" s="620"/>
      <c r="E60" s="239">
        <f ca="1">IF(ISERROR(E59),IF(1+COUNTIF($L$13:OFFSET(L59,-1,0),1)&lt;=MAX(QCI!$D$13:$D$24),1+COUNTIF($L$13:OFFSET(L59,-1,0),1),-1),0)</f>
        <v>0</v>
      </c>
      <c r="F60" s="239" t="str">
        <f ca="1">IF(AND($E60&lt;&gt;-1,$R59&gt;0),"F","")</f>
        <v>F</v>
      </c>
      <c r="G60" s="252" t="str">
        <f ca="1">IF(OR(R59=0,R59=""),"vazia",IF(AND(OR(ACOMPANHAMENTO="PLE",$Q59&lt;&gt;2),$E60=0),"calculada","--&gt;"))</f>
        <v>--&gt;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>
        <v>1</v>
      </c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2$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3655.4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1</v>
      </c>
      <c r="C62" s="239">
        <f ca="1">IF($Q62&lt;&gt;2,0,IF($R62=0,1,IF(E63&gt;0,OFFSET(QCI!$N$13,SUBSTITUTE(E63,".",""),0),OFFSET(ORÇAMENTO!$AB$15,CRONO!$E62,0))/$R62))</f>
        <v>0</v>
      </c>
      <c r="D62" s="242">
        <f ca="1">IF(AND($Q62=2,ACOMPANHAMENTO="BM"),D63,D64/$R62)</f>
        <v>0</v>
      </c>
      <c r="E62" s="239">
        <f ca="1">IF(A62&lt;=ORÇAMENTO.MáximoListaCrono,MATCH(A62,ORÇAMENTO.ListaCrono,0),NA())</f>
        <v>144</v>
      </c>
      <c r="F62" s="239" t="str">
        <f ca="1">IF(AND($E63&lt;&gt;-1,$R62&gt;0),"F","")</f>
        <v>F</v>
      </c>
      <c r="G62" s="243">
        <f ca="1">IF(OR(R62=0,R62=""),"Linha",IF(AND(OR(ACOMPANHAMENTO="PLE",$Q62&lt;&gt;2),$E63=0),"Linha",1-SUM(T62:AF62)))</f>
        <v>0</v>
      </c>
      <c r="H62" s="244" t="str">
        <f ca="1">IF($E63=0,OFFSET(ORÇAMENTO!O$15,$E62,0),IF($E63&lt;&gt;-1,OFFSET(QCI!$D$13,$E63,0),""))</f>
        <v>3.2.</v>
      </c>
      <c r="I62" s="245" t="str">
        <f ca="1">IF($E63=0,OFFSET(ORÇAMENTO!R$15,$E62,0),IF($E63&lt;&gt;-1,OFFSET(QCI!$G$13,$E63,0),""))</f>
        <v>(COBERTURAS / FORROS)</v>
      </c>
      <c r="J62" s="245"/>
      <c r="K62" s="245"/>
      <c r="L62" s="246">
        <f ca="1">IF($E63=0,OFFSET(ORÇAMENTO!C$15,$E62,0),1)</f>
        <v>2</v>
      </c>
      <c r="M62" s="247">
        <f ca="1">IF($E63=-1,0,IF(M$13&lt;=$L62,IF(ISERROR(MATCH(M$13,OFFSET($L62,1,0,ROW($L$164)-ROW($L62)-1),0)),ROW($L$164)-ROW($L62)-1,MATCH(M$13,OFFSET($L62,1,0,ROW($L$164)-ROW($L62)-1),0)-1),0))</f>
        <v>23</v>
      </c>
      <c r="N62" s="247">
        <f ca="1">IF($E63=-1,0,IF(N$13&lt;=$L62,IF(ISERROR(MATCH(N$13,OFFSET($L62,1,0,ROW($L$164)-ROW($L62)-1),0)),ROW($L$164)-ROW($L62)-1,MATCH(N$13,OFFSET($L62,1,0,ROW($L$164)-ROW($L62)-1),0)-1),0))</f>
        <v>2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2</v>
      </c>
      <c r="R62" s="248">
        <f ca="1">IF($E63=0,OFFSET(ORÇAMENTO!X$15,$E62,0),IF($E63&lt;&gt;-1,OFFSET(QCI!$O$13,$E63,0),""))</f>
        <v>2693.35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1</v>
      </c>
      <c r="W62" s="242">
        <f t="shared" ca="1" si="19"/>
        <v>0</v>
      </c>
      <c r="X62" s="242">
        <f t="shared" ca="1" si="19"/>
        <v>0</v>
      </c>
      <c r="Y62" s="242">
        <f t="shared" ca="1" si="19"/>
        <v>0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customHeight="1" x14ac:dyDescent="0.2">
      <c r="D63" s="620"/>
      <c r="E63" s="239">
        <f ca="1">IF(ISERROR(E62),IF(1+COUNTIF($L$13:OFFSET(L62,-1,0),1)&lt;=MAX(QCI!$D$13:$D$24),1+COUNTIF($L$13:OFFSET(L62,-1,0),1),-1),0)</f>
        <v>0</v>
      </c>
      <c r="F63" s="239" t="str">
        <f ca="1">IF(AND($E63&lt;&gt;-1,$R62&gt;0),"F","")</f>
        <v>F</v>
      </c>
      <c r="G63" s="252" t="str">
        <f ca="1">IF(OR(R62=0,R62=""),"vazia",IF(AND(OR(ACOMPANHAMENTO="PLE",$Q62&lt;&gt;2),$E63=0),"calculada","--&gt;"))</f>
        <v>--&gt;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>
        <v>1</v>
      </c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2$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2693.35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0</v>
      </c>
      <c r="D65" s="242">
        <f ca="1">IF(AND($Q65=2,ACOMPANHAMENTO="BM"),D66,D67/$R65)</f>
        <v>0</v>
      </c>
      <c r="E65" s="239">
        <f ca="1">IF(A65&lt;=ORÇAMENTO.MáximoListaCrono,MATCH(A65,ORÇAMENTO.ListaCrono,0),NA())</f>
        <v>148</v>
      </c>
      <c r="F65" s="239" t="str">
        <f ca="1">IF(AND($E66&lt;&gt;-1,$R65&gt;0),"F","")</f>
        <v>F</v>
      </c>
      <c r="G65" s="243">
        <f ca="1">IF(OR(R65=0,R65=""),"Linha",IF(AND(OR(ACOMPANHAMENTO="PLE",$Q65&lt;&gt;2),$E66=0),"Linha",1-SUM(T65:AF65)))</f>
        <v>0</v>
      </c>
      <c r="H65" s="244" t="str">
        <f ca="1">IF($E66=0,OFFSET(ORÇAMENTO!O$15,$E65,0),IF($E66&lt;&gt;-1,OFFSET(QCI!$D$13,$E66,0),""))</f>
        <v>3.3.</v>
      </c>
      <c r="I65" s="245" t="str">
        <f ca="1">IF($E66=0,OFFSET(ORÇAMENTO!R$15,$E65,0),IF($E66&lt;&gt;-1,OFFSET(QCI!$G$13,$E66,0),""))</f>
        <v>(REVESTIMENTOS)</v>
      </c>
      <c r="J65" s="245"/>
      <c r="K65" s="245"/>
      <c r="L65" s="246">
        <f ca="1">IF($E66=0,OFFSET(ORÇAMENTO!C$15,$E65,0),1)</f>
        <v>2</v>
      </c>
      <c r="M65" s="247">
        <f ca="1">IF($E66=-1,0,IF(M$13&lt;=$L65,IF(ISERROR(MATCH(M$13,OFFSET($L65,1,0,ROW($L$164)-ROW($L65)-1),0)),ROW($L$164)-ROW($L65)-1,MATCH(M$13,OFFSET($L65,1,0,ROW($L$164)-ROW($L65)-1),0)-1),0))</f>
        <v>20</v>
      </c>
      <c r="N65" s="247">
        <f ca="1">IF($E66=-1,0,IF(N$13&lt;=$L65,IF(ISERROR(MATCH(N$13,OFFSET($L65,1,0,ROW($L$164)-ROW($L65)-1),0)),ROW($L$164)-ROW($L65)-1,MATCH(N$13,OFFSET($L65,1,0,ROW($L$164)-ROW($L65)-1),0)-1),0))</f>
        <v>2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6954.06</v>
      </c>
      <c r="S65" s="249" t="s">
        <v>269</v>
      </c>
      <c r="T65" s="250">
        <f t="shared" ref="T65:AE65" ca="1" si="20">IF(AND($Q65=2,ACOMPANHAMENTO="BM"),T66,T67/$R65)</f>
        <v>0</v>
      </c>
      <c r="U65" s="242">
        <f t="shared" ca="1" si="20"/>
        <v>0</v>
      </c>
      <c r="V65" s="242">
        <f t="shared" ca="1" si="20"/>
        <v>0.5</v>
      </c>
      <c r="W65" s="242">
        <f t="shared" ca="1" si="20"/>
        <v>0.5</v>
      </c>
      <c r="X65" s="242">
        <f t="shared" ca="1" si="20"/>
        <v>0</v>
      </c>
      <c r="Y65" s="242">
        <f t="shared" ca="1" si="20"/>
        <v>0</v>
      </c>
      <c r="Z65" s="242">
        <f t="shared" ca="1" si="20"/>
        <v>0</v>
      </c>
      <c r="AA65" s="242">
        <f t="shared" ca="1" si="20"/>
        <v>0</v>
      </c>
      <c r="AB65" s="242">
        <f t="shared" ca="1" si="20"/>
        <v>0</v>
      </c>
      <c r="AC65" s="242">
        <f t="shared" ca="1" si="20"/>
        <v>0</v>
      </c>
      <c r="AD65" s="242">
        <f t="shared" ca="1" si="20"/>
        <v>0</v>
      </c>
      <c r="AE65" s="251">
        <f t="shared" ca="1" si="20"/>
        <v>0</v>
      </c>
    </row>
    <row r="66" spans="1:32" ht="12.75" customHeight="1" x14ac:dyDescent="0.2">
      <c r="D66" s="620"/>
      <c r="E66" s="239">
        <f ca="1">IF(ISERROR(E65),IF(1+COUNTIF($L$13:OFFSET(L65,-1,0),1)&lt;=MAX(QCI!$D$13:$D$24),1+COUNTIF($L$13:OFFSET(L65,-1,0),1),-1),0)</f>
        <v>0</v>
      </c>
      <c r="F66" s="239" t="str">
        <f ca="1">IF(AND($E66&lt;&gt;-1,$R65&gt;0),"F","")</f>
        <v>F</v>
      </c>
      <c r="G66" s="252" t="str">
        <f ca="1">IF(OR(R65=0,R65=""),"vazia",IF(AND(OR(ACOMPANHAMENTO="PLE",$Q65&lt;&gt;2),$E66=0),"calculada","--&gt;"))</f>
        <v>--&gt;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>
        <v>0.5</v>
      </c>
      <c r="W66" s="620">
        <v>0.5</v>
      </c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2$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3477.03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3477.03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1.0000000000000002</v>
      </c>
      <c r="C68" s="239">
        <f ca="1">IF($Q68&lt;&gt;2,0,IF($R68=0,1,IF(E69&gt;0,OFFSET(QCI!$N$13,SUBSTITUTE(E69,".",""),0),OFFSET(ORÇAMENTO!$AB$15,CRONO!$E68,0))/$R68))</f>
        <v>0</v>
      </c>
      <c r="D68" s="242">
        <f ca="1">IF(AND($Q68=2,ACOMPANHAMENTO="BM"),D69,D70/$R68)</f>
        <v>0</v>
      </c>
      <c r="E68" s="239">
        <f ca="1">IF(A68&lt;=ORÇAMENTO.MáximoListaCrono,MATCH(A68,ORÇAMENTO.ListaCrono,0),NA())</f>
        <v>160</v>
      </c>
      <c r="F68" s="239" t="str">
        <f ca="1">IF(AND($E69&lt;&gt;-1,$R68&gt;0),"F","")</f>
        <v>F</v>
      </c>
      <c r="G68" s="243">
        <f ca="1">IF(OR(R68=0,R68=""),"Linha",IF(AND(OR(ACOMPANHAMENTO="PLE",$Q68&lt;&gt;2),$E69=0),"Linha",1-SUM(T68:AF68)))</f>
        <v>0</v>
      </c>
      <c r="H68" s="244" t="str">
        <f ca="1">IF($E69=0,OFFSET(ORÇAMENTO!O$15,$E68,0),IF($E69&lt;&gt;-1,OFFSET(QCI!$D$13,$E69,0),""))</f>
        <v>3.4.</v>
      </c>
      <c r="I68" s="245" t="str">
        <f ca="1">IF($E69=0,OFFSET(ORÇAMENTO!R$15,$E68,0),IF($E69&lt;&gt;-1,OFFSET(QCI!$G$13,$E69,0),""))</f>
        <v>(ESQUADRIAS METALICAS , PORTAS , TELAS MILIMETRICAS)</v>
      </c>
      <c r="J68" s="245"/>
      <c r="K68" s="245"/>
      <c r="L68" s="246">
        <f ca="1">IF($E69=0,OFFSET(ORÇAMENTO!C$15,$E68,0),1)</f>
        <v>2</v>
      </c>
      <c r="M68" s="247">
        <f ca="1">IF($E69=-1,0,IF(M$13&lt;=$L68,IF(ISERROR(MATCH(M$13,OFFSET($L68,1,0,ROW($L$164)-ROW($L68)-1),0)),ROW($L$164)-ROW($L68)-1,MATCH(M$13,OFFSET($L68,1,0,ROW($L$164)-ROW($L68)-1),0)-1),0))</f>
        <v>17</v>
      </c>
      <c r="N68" s="247">
        <f ca="1">IF($E69=-1,0,IF(N$13&lt;=$L68,IF(ISERROR(MATCH(N$13,OFFSET($L68,1,0,ROW($L$164)-ROW($L68)-1),0)),ROW($L$164)-ROW($L68)-1,MATCH(N$13,OFFSET($L68,1,0,ROW($L$164)-ROW($L68)-1),0)-1),0))</f>
        <v>2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2</v>
      </c>
      <c r="R68" s="248">
        <f ca="1">IF($E69=0,OFFSET(ORÇAMENTO!X$15,$E68,0),IF($E69&lt;&gt;-1,OFFSET(QCI!$O$13,$E69,0),""))</f>
        <v>3735.24</v>
      </c>
      <c r="S68" s="249" t="s">
        <v>269</v>
      </c>
      <c r="T68" s="250">
        <f t="shared" ref="T68:AE68" ca="1" si="21">IF(AND($Q68=2,ACOMPANHAMENTO="BM"),T69,T70/$R68)</f>
        <v>0</v>
      </c>
      <c r="U68" s="242">
        <f t="shared" ca="1" si="21"/>
        <v>0</v>
      </c>
      <c r="V68" s="242">
        <f t="shared" ca="1" si="21"/>
        <v>0.5</v>
      </c>
      <c r="W68" s="242">
        <f t="shared" ca="1" si="21"/>
        <v>0.5</v>
      </c>
      <c r="X68" s="242">
        <f t="shared" ca="1" si="21"/>
        <v>0</v>
      </c>
      <c r="Y68" s="242">
        <f t="shared" ca="1" si="21"/>
        <v>0</v>
      </c>
      <c r="Z68" s="242">
        <f t="shared" ca="1" si="21"/>
        <v>0</v>
      </c>
      <c r="AA68" s="242">
        <f t="shared" ca="1" si="21"/>
        <v>0</v>
      </c>
      <c r="AB68" s="242">
        <f t="shared" ca="1" si="21"/>
        <v>0</v>
      </c>
      <c r="AC68" s="242">
        <f t="shared" ca="1" si="21"/>
        <v>0</v>
      </c>
      <c r="AD68" s="242">
        <f t="shared" ca="1" si="21"/>
        <v>0</v>
      </c>
      <c r="AE68" s="251">
        <f t="shared" ca="1" si="21"/>
        <v>0</v>
      </c>
    </row>
    <row r="69" spans="1:32" ht="12.75" customHeight="1" x14ac:dyDescent="0.2">
      <c r="D69" s="620"/>
      <c r="E69" s="239">
        <f ca="1">IF(ISERROR(E68),IF(1+COUNTIF($L$13:OFFSET(L68,-1,0),1)&lt;=MAX(QCI!$D$13:$D$24),1+COUNTIF($L$13:OFFSET(L68,-1,0),1),-1),0)</f>
        <v>0</v>
      </c>
      <c r="F69" s="239" t="str">
        <f ca="1">IF(AND($E69&lt;&gt;-1,$R68&gt;0),"F","")</f>
        <v>F</v>
      </c>
      <c r="G69" s="252" t="str">
        <f ca="1">IF(OR(R68=0,R68=""),"vazia",IF(AND(OR(ACOMPANHAMENTO="PLE",$Q68&lt;&gt;2),$E69=0),"calculada","--&gt;"))</f>
        <v>--&gt;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>
        <v>0.5</v>
      </c>
      <c r="W69" s="620">
        <v>0.5</v>
      </c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2$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1867.62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1867.62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0.99999999999999989</v>
      </c>
      <c r="C71" s="239">
        <f ca="1">IF($Q71&lt;&gt;2,0,IF($R71=0,1,IF(E72&gt;0,OFFSET(QCI!$N$13,SUBSTITUTE(E72,".",""),0),OFFSET(ORÇAMENTO!$AB$15,CRONO!$E71,0))/$R71))</f>
        <v>0</v>
      </c>
      <c r="D71" s="242">
        <f ca="1">IF(AND($Q71=2,ACOMPANHAMENTO="BM"),D72,D73/$R71)</f>
        <v>0</v>
      </c>
      <c r="E71" s="239">
        <f ca="1">IF(A71&lt;=ORÇAMENTO.MáximoListaCrono,MATCH(A71,ORÇAMENTO.ListaCrono,0),NA())</f>
        <v>169</v>
      </c>
      <c r="F71" s="239" t="str">
        <f ca="1">IF(AND($E72&lt;&gt;-1,$R71&gt;0),"F","")</f>
        <v>F</v>
      </c>
      <c r="G71" s="243">
        <f ca="1">IF(OR(R71=0,R71=""),"Linha",IF(AND(OR(ACOMPANHAMENTO="PLE",$Q71&lt;&gt;2),$E72=0),"Linha",1-SUM(T71:AF71)))</f>
        <v>0</v>
      </c>
      <c r="H71" s="244" t="str">
        <f ca="1">IF($E72=0,OFFSET(ORÇAMENTO!O$15,$E71,0),IF($E72&lt;&gt;-1,OFFSET(QCI!$D$13,$E72,0),""))</f>
        <v>3.5.</v>
      </c>
      <c r="I71" s="245" t="str">
        <f ca="1">IF($E72=0,OFFSET(ORÇAMENTO!R$15,$E71,0),IF($E72&lt;&gt;-1,OFFSET(QCI!$G$13,$E72,0),""))</f>
        <v>(INSTALAÇOES ELETRICAS)</v>
      </c>
      <c r="J71" s="245"/>
      <c r="K71" s="245"/>
      <c r="L71" s="246">
        <f ca="1">IF($E72=0,OFFSET(ORÇAMENTO!C$15,$E71,0),1)</f>
        <v>2</v>
      </c>
      <c r="M71" s="247">
        <f ca="1">IF($E72=-1,0,IF(M$13&lt;=$L71,IF(ISERROR(MATCH(M$13,OFFSET($L71,1,0,ROW($L$164)-ROW($L71)-1),0)),ROW($L$164)-ROW($L71)-1,MATCH(M$13,OFFSET($L71,1,0,ROW($L$164)-ROW($L71)-1),0)-1),0))</f>
        <v>14</v>
      </c>
      <c r="N71" s="247">
        <f ca="1">IF($E72=-1,0,IF(N$13&lt;=$L71,IF(ISERROR(MATCH(N$13,OFFSET($L71,1,0,ROW($L$164)-ROW($L71)-1),0)),ROW($L$164)-ROW($L71)-1,MATCH(N$13,OFFSET($L71,1,0,ROW($L$164)-ROW($L71)-1),0)-1),0))</f>
        <v>2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2</v>
      </c>
      <c r="R71" s="248">
        <f ca="1">IF($E72=0,OFFSET(ORÇAMENTO!X$15,$E71,0),IF($E72&lt;&gt;-1,OFFSET(QCI!$O$13,$E72,0),""))</f>
        <v>3150.13</v>
      </c>
      <c r="S71" s="249" t="s">
        <v>269</v>
      </c>
      <c r="T71" s="250">
        <f t="shared" ref="T71:AE71" ca="1" si="22">IF(AND($Q71=2,ACOMPANHAMENTO="BM"),T72,T73/$R71)</f>
        <v>0</v>
      </c>
      <c r="U71" s="242">
        <f t="shared" ca="1" si="22"/>
        <v>0</v>
      </c>
      <c r="V71" s="242">
        <f t="shared" ca="1" si="22"/>
        <v>0.5</v>
      </c>
      <c r="W71" s="242">
        <f t="shared" ca="1" si="22"/>
        <v>0.5</v>
      </c>
      <c r="X71" s="242">
        <f t="shared" ca="1" si="22"/>
        <v>0</v>
      </c>
      <c r="Y71" s="242">
        <f t="shared" ca="1" si="22"/>
        <v>0</v>
      </c>
      <c r="Z71" s="242">
        <f t="shared" ca="1" si="22"/>
        <v>0</v>
      </c>
      <c r="AA71" s="242">
        <f t="shared" ca="1" si="22"/>
        <v>0</v>
      </c>
      <c r="AB71" s="242">
        <f t="shared" ca="1" si="22"/>
        <v>0</v>
      </c>
      <c r="AC71" s="242">
        <f t="shared" ca="1" si="22"/>
        <v>0</v>
      </c>
      <c r="AD71" s="242">
        <f t="shared" ca="1" si="22"/>
        <v>0</v>
      </c>
      <c r="AE71" s="251">
        <f t="shared" ca="1" si="22"/>
        <v>0</v>
      </c>
    </row>
    <row r="72" spans="1:32" ht="12.75" customHeight="1" x14ac:dyDescent="0.2">
      <c r="D72" s="620"/>
      <c r="E72" s="239">
        <f ca="1">IF(ISERROR(E71),IF(1+COUNTIF($L$13:OFFSET(L71,-1,0),1)&lt;=MAX(QCI!$D$13:$D$24),1+COUNTIF($L$13:OFFSET(L71,-1,0),1),-1),0)</f>
        <v>0</v>
      </c>
      <c r="F72" s="239" t="str">
        <f ca="1">IF(AND($E72&lt;&gt;-1,$R71&gt;0),"F","")</f>
        <v>F</v>
      </c>
      <c r="G72" s="252" t="str">
        <f ca="1">IF(OR(R71=0,R71=""),"vazia",IF(AND(OR(ACOMPANHAMENTO="PLE",$Q71&lt;&gt;2),$E72=0),"calculada","--&gt;"))</f>
        <v>--&gt;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>
        <v>0.5</v>
      </c>
      <c r="W72" s="620">
        <v>0.5</v>
      </c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2$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1575.0650000000001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1575.0650000000001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1</v>
      </c>
      <c r="C74" s="239">
        <f ca="1">IF($Q74&lt;&gt;2,0,IF($R74=0,1,IF(E75&gt;0,OFFSET(QCI!$N$13,SUBSTITUTE(E75,".",""),0),OFFSET(ORÇAMENTO!$AB$15,CRONO!$E74,0))/$R74))</f>
        <v>0</v>
      </c>
      <c r="D74" s="242">
        <f ca="1">IF(AND($Q74=2,ACOMPANHAMENTO="BM"),D75,D76/$R74)</f>
        <v>0</v>
      </c>
      <c r="E74" s="239">
        <f ca="1">IF(A74&lt;=ORÇAMENTO.MáximoListaCrono,MATCH(A74,ORÇAMENTO.ListaCrono,0),NA())</f>
        <v>182</v>
      </c>
      <c r="F74" s="239" t="str">
        <f ca="1">IF(AND($E75&lt;&gt;-1,$R74&gt;0),"F","")</f>
        <v>F</v>
      </c>
      <c r="G74" s="243">
        <f ca="1">IF(OR(R74=0,R74=""),"Linha",IF(AND(OR(ACOMPANHAMENTO="PLE",$Q74&lt;&gt;2),$E75=0),"Linha",1-SUM(T74:AF74)))</f>
        <v>0</v>
      </c>
      <c r="H74" s="244" t="str">
        <f ca="1">IF($E75=0,OFFSET(ORÇAMENTO!O$15,$E74,0),IF($E75&lt;&gt;-1,OFFSET(QCI!$D$13,$E75,0),""))</f>
        <v>3.6.</v>
      </c>
      <c r="I74" s="245" t="str">
        <f ca="1">IF($E75=0,OFFSET(ORÇAMENTO!R$15,$E74,0),IF($E75&lt;&gt;-1,OFFSET(QCI!$G$13,$E75,0),""))</f>
        <v>(INSTALAÇÕES HIDRAULICAS)</v>
      </c>
      <c r="J74" s="245"/>
      <c r="K74" s="245"/>
      <c r="L74" s="246">
        <f ca="1">IF($E75=0,OFFSET(ORÇAMENTO!C$15,$E74,0),1)</f>
        <v>2</v>
      </c>
      <c r="M74" s="247">
        <f ca="1">IF($E75=-1,0,IF(M$13&lt;=$L74,IF(ISERROR(MATCH(M$13,OFFSET($L74,1,0,ROW($L$164)-ROW($L74)-1),0)),ROW($L$164)-ROW($L74)-1,MATCH(M$13,OFFSET($L74,1,0,ROW($L$164)-ROW($L74)-1),0)-1),0))</f>
        <v>11</v>
      </c>
      <c r="N74" s="247">
        <f ca="1">IF($E75=-1,0,IF(N$13&lt;=$L74,IF(ISERROR(MATCH(N$13,OFFSET($L74,1,0,ROW($L$164)-ROW($L74)-1),0)),ROW($L$164)-ROW($L74)-1,MATCH(N$13,OFFSET($L74,1,0,ROW($L$164)-ROW($L74)-1),0)-1),0))</f>
        <v>2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2</v>
      </c>
      <c r="R74" s="248">
        <f ca="1">IF($E75=0,OFFSET(ORÇAMENTO!X$15,$E74,0),IF($E75&lt;&gt;-1,OFFSET(QCI!$O$13,$E75,0),""))</f>
        <v>3236.2</v>
      </c>
      <c r="S74" s="249" t="s">
        <v>269</v>
      </c>
      <c r="T74" s="250">
        <f t="shared" ref="T74:AE74" ca="1" si="23">IF(AND($Q74=2,ACOMPANHAMENTO="BM"),T75,T76/$R74)</f>
        <v>0</v>
      </c>
      <c r="U74" s="242">
        <f t="shared" ca="1" si="23"/>
        <v>0</v>
      </c>
      <c r="V74" s="242">
        <f t="shared" ca="1" si="23"/>
        <v>0.5</v>
      </c>
      <c r="W74" s="242">
        <f t="shared" ca="1" si="23"/>
        <v>0.5</v>
      </c>
      <c r="X74" s="242">
        <f t="shared" ca="1" si="23"/>
        <v>0</v>
      </c>
      <c r="Y74" s="242">
        <f t="shared" ca="1" si="23"/>
        <v>0</v>
      </c>
      <c r="Z74" s="242">
        <f t="shared" ca="1" si="23"/>
        <v>0</v>
      </c>
      <c r="AA74" s="242">
        <f t="shared" ca="1" si="23"/>
        <v>0</v>
      </c>
      <c r="AB74" s="242">
        <f t="shared" ca="1" si="23"/>
        <v>0</v>
      </c>
      <c r="AC74" s="242">
        <f t="shared" ca="1" si="23"/>
        <v>0</v>
      </c>
      <c r="AD74" s="242">
        <f t="shared" ca="1" si="23"/>
        <v>0</v>
      </c>
      <c r="AE74" s="251">
        <f t="shared" ca="1" si="23"/>
        <v>0</v>
      </c>
    </row>
    <row r="75" spans="1:32" ht="12.75" customHeight="1" x14ac:dyDescent="0.2">
      <c r="D75" s="620"/>
      <c r="E75" s="239">
        <f ca="1">IF(ISERROR(E74),IF(1+COUNTIF($L$13:OFFSET(L74,-1,0),1)&lt;=MAX(QCI!$D$13:$D$24),1+COUNTIF($L$13:OFFSET(L74,-1,0),1),-1),0)</f>
        <v>0</v>
      </c>
      <c r="F75" s="239" t="str">
        <f ca="1">IF(AND($E75&lt;&gt;-1,$R74&gt;0),"F","")</f>
        <v>F</v>
      </c>
      <c r="G75" s="252" t="str">
        <f ca="1">IF(OR(R74=0,R74=""),"vazia",IF(AND(OR(ACOMPANHAMENTO="PLE",$Q74&lt;&gt;2),$E75=0),"calculada","--&gt;"))</f>
        <v>--&gt;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>
        <v>0.5</v>
      </c>
      <c r="W75" s="620">
        <v>0.5</v>
      </c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2$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1618.1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1618.1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1</v>
      </c>
      <c r="C77" s="239">
        <f ca="1">IF($Q77&lt;&gt;2,0,IF($R77=0,1,IF(E78&gt;0,OFFSET(QCI!$N$13,SUBSTITUTE(E78,".",""),0),OFFSET(ORÇAMENTO!$AB$15,CRONO!$E77,0))/$R77))</f>
        <v>0</v>
      </c>
      <c r="D77" s="242">
        <f ca="1">IF(AND($Q77=2,ACOMPANHAMENTO="BM"),D78,D79/$R77)</f>
        <v>0</v>
      </c>
      <c r="E77" s="239">
        <f ca="1">IF(A77&lt;=ORÇAMENTO.MáximoListaCrono,MATCH(A77,ORÇAMENTO.ListaCrono,0),NA())</f>
        <v>197</v>
      </c>
      <c r="F77" s="239" t="str">
        <f ca="1">IF(AND($E78&lt;&gt;-1,$R77&gt;0),"F","")</f>
        <v>F</v>
      </c>
      <c r="G77" s="243">
        <f ca="1">IF(OR(R77=0,R77=""),"Linha",IF(AND(OR(ACOMPANHAMENTO="PLE",$Q77&lt;&gt;2),$E78=0),"Linha",1-SUM(T77:AF77)))</f>
        <v>0</v>
      </c>
      <c r="H77" s="244" t="str">
        <f ca="1">IF($E78=0,OFFSET(ORÇAMENTO!O$15,$E77,0),IF($E78&lt;&gt;-1,OFFSET(QCI!$D$13,$E78,0),""))</f>
        <v>3.7.</v>
      </c>
      <c r="I77" s="245" t="str">
        <f ca="1">IF($E78=0,OFFSET(ORÇAMENTO!R$15,$E77,0),IF($E78&lt;&gt;-1,OFFSET(QCI!$G$13,$E78,0),""))</f>
        <v>(SAGUÃO)</v>
      </c>
      <c r="J77" s="245"/>
      <c r="K77" s="245"/>
      <c r="L77" s="246">
        <f ca="1">IF($E78=0,OFFSET(ORÇAMENTO!C$15,$E77,0),1)</f>
        <v>2</v>
      </c>
      <c r="M77" s="247">
        <f ca="1">IF($E78=-1,0,IF(M$13&lt;=$L77,IF(ISERROR(MATCH(M$13,OFFSET($L77,1,0,ROW($L$164)-ROW($L77)-1),0)),ROW($L$164)-ROW($L77)-1,MATCH(M$13,OFFSET($L77,1,0,ROW($L$164)-ROW($L77)-1),0)-1),0))</f>
        <v>8</v>
      </c>
      <c r="N77" s="247">
        <f ca="1">IF($E78=-1,0,IF(N$13&lt;=$L77,IF(ISERROR(MATCH(N$13,OFFSET($L77,1,0,ROW($L$164)-ROW($L77)-1),0)),ROW($L$164)-ROW($L77)-1,MATCH(N$13,OFFSET($L77,1,0,ROW($L$164)-ROW($L77)-1),0)-1),0))</f>
        <v>2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2</v>
      </c>
      <c r="R77" s="248">
        <f ca="1">IF($E78=0,OFFSET(ORÇAMENTO!X$15,$E77,0),IF($E78&lt;&gt;-1,OFFSET(QCI!$O$13,$E78,0),""))</f>
        <v>1665.01</v>
      </c>
      <c r="S77" s="249" t="s">
        <v>269</v>
      </c>
      <c r="T77" s="250">
        <f t="shared" ref="T77:AE77" ca="1" si="24">IF(AND($Q77=2,ACOMPANHAMENTO="BM"),T78,T79/$R77)</f>
        <v>0</v>
      </c>
      <c r="U77" s="242">
        <f t="shared" ca="1" si="24"/>
        <v>0</v>
      </c>
      <c r="V77" s="242">
        <f t="shared" ca="1" si="24"/>
        <v>0</v>
      </c>
      <c r="W77" s="242">
        <f t="shared" ca="1" si="24"/>
        <v>1</v>
      </c>
      <c r="X77" s="242">
        <f t="shared" ca="1" si="24"/>
        <v>0</v>
      </c>
      <c r="Y77" s="242">
        <f t="shared" ca="1" si="24"/>
        <v>0</v>
      </c>
      <c r="Z77" s="242">
        <f t="shared" ca="1" si="24"/>
        <v>0</v>
      </c>
      <c r="AA77" s="242">
        <f t="shared" ca="1" si="24"/>
        <v>0</v>
      </c>
      <c r="AB77" s="242">
        <f t="shared" ca="1" si="24"/>
        <v>0</v>
      </c>
      <c r="AC77" s="242">
        <f t="shared" ca="1" si="24"/>
        <v>0</v>
      </c>
      <c r="AD77" s="242">
        <f t="shared" ca="1" si="24"/>
        <v>0</v>
      </c>
      <c r="AE77" s="251">
        <f t="shared" ca="1" si="24"/>
        <v>0</v>
      </c>
    </row>
    <row r="78" spans="1:32" ht="12.75" customHeight="1" x14ac:dyDescent="0.2">
      <c r="D78" s="620"/>
      <c r="E78" s="239">
        <f ca="1">IF(ISERROR(E77),IF(1+COUNTIF($L$13:OFFSET(L77,-1,0),1)&lt;=MAX(QCI!$D$13:$D$24),1+COUNTIF($L$13:OFFSET(L77,-1,0),1),-1),0)</f>
        <v>0</v>
      </c>
      <c r="F78" s="239" t="str">
        <f ca="1">IF(AND($E78&lt;&gt;-1,$R77&gt;0),"F","")</f>
        <v>F</v>
      </c>
      <c r="G78" s="252" t="str">
        <f ca="1">IF(OR(R77=0,R77=""),"vazia",IF(AND(OR(ACOMPANHAMENTO="PLE",$Q77&lt;&gt;2),$E78=0),"calculada","--&gt;"))</f>
        <v>--&gt;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>
        <v>1</v>
      </c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2$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1665.01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1</v>
      </c>
      <c r="C80" s="239">
        <f ca="1">IF($Q80&lt;&gt;2,0,IF($R80=0,1,IF(E81&gt;0,OFFSET(QCI!$N$13,SUBSTITUTE(E81,".",""),0),OFFSET(ORÇAMENTO!$AB$15,CRONO!$E80,0))/$R80))</f>
        <v>0</v>
      </c>
      <c r="D80" s="242">
        <f ca="1">IF(AND($Q80=2,ACOMPANHAMENTO="BM"),D81,D82/$R80)</f>
        <v>0</v>
      </c>
      <c r="E80" s="239">
        <f ca="1">IF(A80&lt;=ORÇAMENTO.MáximoListaCrono,MATCH(A80,ORÇAMENTO.ListaCrono,0),NA())</f>
        <v>201</v>
      </c>
      <c r="F80" s="239" t="str">
        <f ca="1">IF(AND($E81&lt;&gt;-1,$R80&gt;0),"F","")</f>
        <v>F</v>
      </c>
      <c r="G80" s="243">
        <f ca="1">IF(OR(R80=0,R80=""),"Linha",IF(AND(OR(ACOMPANHAMENTO="PLE",$Q80&lt;&gt;2),$E81=0),"Linha",1-SUM(T80:AF80)))</f>
        <v>0</v>
      </c>
      <c r="H80" s="244" t="str">
        <f ca="1">IF($E81=0,OFFSET(ORÇAMENTO!O$15,$E80,0),IF($E81&lt;&gt;-1,OFFSET(QCI!$D$13,$E81,0),""))</f>
        <v>3.8.</v>
      </c>
      <c r="I80" s="245" t="str">
        <f ca="1">IF($E81=0,OFFSET(ORÇAMENTO!R$15,$E80,0),IF($E81&lt;&gt;-1,OFFSET(QCI!$G$13,$E81,0),""))</f>
        <v>(EXAUSTORES / TELAS MILIMETRICAS)</v>
      </c>
      <c r="J80" s="245"/>
      <c r="K80" s="245"/>
      <c r="L80" s="246">
        <f ca="1">IF($E81=0,OFFSET(ORÇAMENTO!C$15,$E80,0),1)</f>
        <v>2</v>
      </c>
      <c r="M80" s="247">
        <f ca="1">IF($E81=-1,0,IF(M$13&lt;=$L80,IF(ISERROR(MATCH(M$13,OFFSET($L80,1,0,ROW($L$164)-ROW($L80)-1),0)),ROW($L$164)-ROW($L80)-1,MATCH(M$13,OFFSET($L80,1,0,ROW($L$164)-ROW($L80)-1),0)-1),0))</f>
        <v>5</v>
      </c>
      <c r="N80" s="247">
        <f ca="1">IF($E81=-1,0,IF(N$13&lt;=$L80,IF(ISERROR(MATCH(N$13,OFFSET($L80,1,0,ROW($L$164)-ROW($L80)-1),0)),ROW($L$164)-ROW($L80)-1,MATCH(N$13,OFFSET($L80,1,0,ROW($L$164)-ROW($L80)-1),0)-1),0))</f>
        <v>2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2</v>
      </c>
      <c r="R80" s="248">
        <f ca="1">IF($E81=0,OFFSET(ORÇAMENTO!X$15,$E80,0),IF($E81&lt;&gt;-1,OFFSET(QCI!$O$13,$E81,0),""))</f>
        <v>7937.86</v>
      </c>
      <c r="S80" s="249" t="s">
        <v>269</v>
      </c>
      <c r="T80" s="250">
        <f t="shared" ref="T80:AE80" ca="1" si="25">IF(AND($Q80=2,ACOMPANHAMENTO="BM"),T81,T82/$R80)</f>
        <v>0</v>
      </c>
      <c r="U80" s="242">
        <f t="shared" ca="1" si="25"/>
        <v>0</v>
      </c>
      <c r="V80" s="242">
        <f t="shared" ca="1" si="25"/>
        <v>0</v>
      </c>
      <c r="W80" s="242">
        <f t="shared" ca="1" si="25"/>
        <v>1</v>
      </c>
      <c r="X80" s="242">
        <f t="shared" ca="1" si="25"/>
        <v>0</v>
      </c>
      <c r="Y80" s="242">
        <f t="shared" ca="1" si="25"/>
        <v>0</v>
      </c>
      <c r="Z80" s="242">
        <f t="shared" ca="1" si="25"/>
        <v>0</v>
      </c>
      <c r="AA80" s="242">
        <f t="shared" ca="1" si="25"/>
        <v>0</v>
      </c>
      <c r="AB80" s="242">
        <f t="shared" ca="1" si="25"/>
        <v>0</v>
      </c>
      <c r="AC80" s="242">
        <f t="shared" ca="1" si="25"/>
        <v>0</v>
      </c>
      <c r="AD80" s="242">
        <f t="shared" ca="1" si="25"/>
        <v>0</v>
      </c>
      <c r="AE80" s="251">
        <f t="shared" ca="1" si="25"/>
        <v>0</v>
      </c>
    </row>
    <row r="81" spans="1:32" ht="12.75" customHeight="1" x14ac:dyDescent="0.2">
      <c r="D81" s="620"/>
      <c r="E81" s="239">
        <f ca="1">IF(ISERROR(E80),IF(1+COUNTIF($L$13:OFFSET(L80,-1,0),1)&lt;=MAX(QCI!$D$13:$D$24),1+COUNTIF($L$13:OFFSET(L80,-1,0),1),-1),0)</f>
        <v>0</v>
      </c>
      <c r="F81" s="239" t="str">
        <f ca="1">IF(AND($E81&lt;&gt;-1,$R80&gt;0),"F","")</f>
        <v>F</v>
      </c>
      <c r="G81" s="252" t="str">
        <f ca="1">IF(OR(R80=0,R80=""),"vazia",IF(AND(OR(ACOMPANHAMENTO="PLE",$Q80&lt;&gt;2),$E81=0),"calculada","--&gt;"))</f>
        <v>--&gt;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>
        <v>1</v>
      </c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2$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7937.86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1</v>
      </c>
      <c r="C83" s="239">
        <f ca="1">IF($Q83&lt;&gt;2,0,IF($R83=0,1,IF(E84&gt;0,OFFSET(QCI!$N$13,SUBSTITUTE(E84,".",""),0),OFFSET(ORÇAMENTO!$AB$15,CRONO!$E83,0))/$R83))</f>
        <v>0</v>
      </c>
      <c r="D83" s="242">
        <f ca="1">IF(AND($Q83=2,ACOMPANHAMENTO="BM"),D84,D85/$R83)</f>
        <v>0</v>
      </c>
      <c r="E83" s="239">
        <f ca="1">IF(A83&lt;=ORÇAMENTO.MáximoListaCrono,MATCH(A83,ORÇAMENTO.ListaCrono,0),NA())</f>
        <v>205</v>
      </c>
      <c r="F83" s="239" t="str">
        <f ca="1">IF(AND($E84&lt;&gt;-1,$R83&gt;0),"F","")</f>
        <v>F</v>
      </c>
      <c r="G83" s="243">
        <f ca="1">IF(OR(R83=0,R83=""),"Linha",IF(AND(OR(ACOMPANHAMENTO="PLE",$Q83&lt;&gt;2),$E84=0),"Linha",1-SUM(T83:AF83)))</f>
        <v>0</v>
      </c>
      <c r="H83" s="244" t="str">
        <f ca="1">IF($E84=0,OFFSET(ORÇAMENTO!O$15,$E83,0),IF($E84&lt;&gt;-1,OFFSET(QCI!$D$13,$E84,0),""))</f>
        <v>3.9.</v>
      </c>
      <c r="I83" s="245" t="str">
        <f ca="1">IF($E84=0,OFFSET(ORÇAMENTO!R$15,$E83,0),IF($E84&lt;&gt;-1,OFFSET(QCI!$G$13,$E84,0),""))</f>
        <v>(INSTALAÇÕES DE PREVENÇÃO CONTRA INCÊNDIO )</v>
      </c>
      <c r="J83" s="245"/>
      <c r="K83" s="245"/>
      <c r="L83" s="246">
        <f ca="1">IF($E84=0,OFFSET(ORÇAMENTO!C$15,$E83,0),1)</f>
        <v>2</v>
      </c>
      <c r="M83" s="247">
        <f ca="1">IF($E84=-1,0,IF(M$13&lt;=$L83,IF(ISERROR(MATCH(M$13,OFFSET($L83,1,0,ROW($L$164)-ROW($L83)-1),0)),ROW($L$164)-ROW($L83)-1,MATCH(M$13,OFFSET($L83,1,0,ROW($L$164)-ROW($L83)-1),0)-1),0))</f>
        <v>2</v>
      </c>
      <c r="N83" s="247">
        <f ca="1">IF($E84=-1,0,IF(N$13&lt;=$L83,IF(ISERROR(MATCH(N$13,OFFSET($L83,1,0,ROW($L$164)-ROW($L83)-1),0)),ROW($L$164)-ROW($L83)-1,MATCH(N$13,OFFSET($L83,1,0,ROW($L$164)-ROW($L83)-1),0)-1),0))</f>
        <v>5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2</v>
      </c>
      <c r="R83" s="248">
        <f ca="1">IF($E84=0,OFFSET(ORÇAMENTO!X$15,$E83,0),IF($E84&lt;&gt;-1,OFFSET(QCI!$O$13,$E84,0),""))</f>
        <v>3311.1</v>
      </c>
      <c r="S83" s="249" t="s">
        <v>269</v>
      </c>
      <c r="T83" s="250">
        <f t="shared" ref="T83:AE83" ca="1" si="26">IF(AND($Q83=2,ACOMPANHAMENTO="BM"),T84,T85/$R83)</f>
        <v>0</v>
      </c>
      <c r="U83" s="242">
        <f t="shared" ca="1" si="26"/>
        <v>0</v>
      </c>
      <c r="V83" s="242">
        <f t="shared" ca="1" si="26"/>
        <v>1</v>
      </c>
      <c r="W83" s="242">
        <f t="shared" ca="1" si="26"/>
        <v>0</v>
      </c>
      <c r="X83" s="242">
        <f t="shared" ca="1" si="26"/>
        <v>0</v>
      </c>
      <c r="Y83" s="242">
        <f t="shared" ca="1" si="26"/>
        <v>0</v>
      </c>
      <c r="Z83" s="242">
        <f t="shared" ca="1" si="26"/>
        <v>0</v>
      </c>
      <c r="AA83" s="242">
        <f t="shared" ca="1" si="26"/>
        <v>0</v>
      </c>
      <c r="AB83" s="242">
        <f t="shared" ca="1" si="26"/>
        <v>0</v>
      </c>
      <c r="AC83" s="242">
        <f t="shared" ca="1" si="26"/>
        <v>0</v>
      </c>
      <c r="AD83" s="242">
        <f t="shared" ca="1" si="26"/>
        <v>0</v>
      </c>
      <c r="AE83" s="251">
        <f t="shared" ca="1" si="26"/>
        <v>0</v>
      </c>
    </row>
    <row r="84" spans="1:32" ht="12.75" customHeight="1" x14ac:dyDescent="0.2">
      <c r="D84" s="620"/>
      <c r="E84" s="239">
        <f ca="1">IF(ISERROR(E83),IF(1+COUNTIF($L$13:OFFSET(L83,-1,0),1)&lt;=MAX(QCI!$D$13:$D$24),1+COUNTIF($L$13:OFFSET(L83,-1,0),1),-1),0)</f>
        <v>0</v>
      </c>
      <c r="F84" s="239" t="str">
        <f ca="1">IF(AND($E84&lt;&gt;-1,$R83&gt;0),"F","")</f>
        <v>F</v>
      </c>
      <c r="G84" s="252" t="str">
        <f ca="1">IF(OR(R83=0,R83=""),"vazia",IF(AND(OR(ACOMPANHAMENTO="PLE",$Q83&lt;&gt;2),$E84=0),"calculada","--&gt;"))</f>
        <v>--&gt;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>
        <v>1</v>
      </c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2$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3311.1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>
        <f ca="1">IF(AND($Q86=2,ACOMPANHAMENTO="BM"),D87,D88/$R86)</f>
        <v>0</v>
      </c>
      <c r="E86" s="239">
        <f ca="1">IF(A86&lt;=ORÇAMENTO.MáximoListaCrono,MATCH(A86,ORÇAMENTO.ListaCrono,0),NA())</f>
        <v>207</v>
      </c>
      <c r="F86" s="239" t="str">
        <f ca="1">IF(AND($E87&lt;&gt;-1,$R86&gt;0),"F","")</f>
        <v>F</v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>4.</v>
      </c>
      <c r="I86" s="245" t="str">
        <f ca="1">IF($E87=0,OFFSET(ORÇAMENTO!R$15,$E86,0),IF($E87&lt;&gt;-1,OFFSET(QCI!$G$13,$E87,0),""))</f>
        <v>(BANHEIRO ADAPTADO )</v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8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8</v>
      </c>
      <c r="R86" s="248">
        <f ca="1">IF($E87=0,OFFSET(ORÇAMENTO!X$15,$E86,0),IF($E87&lt;&gt;-1,OFFSET(QCI!$O$13,$E87,0),""))</f>
        <v>4664.12</v>
      </c>
      <c r="S86" s="249" t="s">
        <v>269</v>
      </c>
      <c r="T86" s="250">
        <f t="shared" ref="T86:AE86" ca="1" si="27">IF(AND($Q86=2,ACOMPANHAMENTO="BM"),T87,T88/$R86)</f>
        <v>1</v>
      </c>
      <c r="U86" s="242">
        <f t="shared" ca="1" si="27"/>
        <v>0</v>
      </c>
      <c r="V86" s="242">
        <f t="shared" ca="1" si="27"/>
        <v>0</v>
      </c>
      <c r="W86" s="242">
        <f t="shared" ca="1" si="27"/>
        <v>0</v>
      </c>
      <c r="X86" s="242">
        <f t="shared" ca="1" si="27"/>
        <v>0</v>
      </c>
      <c r="Y86" s="242">
        <f t="shared" ca="1" si="27"/>
        <v>0</v>
      </c>
      <c r="Z86" s="242">
        <f t="shared" ca="1" si="27"/>
        <v>0</v>
      </c>
      <c r="AA86" s="242">
        <f t="shared" ca="1" si="27"/>
        <v>0</v>
      </c>
      <c r="AB86" s="242">
        <f t="shared" ca="1" si="27"/>
        <v>0</v>
      </c>
      <c r="AC86" s="242">
        <f t="shared" ca="1" si="27"/>
        <v>0</v>
      </c>
      <c r="AD86" s="242">
        <f t="shared" ca="1" si="27"/>
        <v>0</v>
      </c>
      <c r="AE86" s="251">
        <f t="shared" ca="1" si="27"/>
        <v>0</v>
      </c>
    </row>
    <row r="87" spans="1:32" ht="12.75" customHeight="1" x14ac:dyDescent="0.2">
      <c r="D87" s="620"/>
      <c r="E87" s="239">
        <f ca="1">IF(ISERROR(E86),IF(1+COUNTIF($L$13:OFFSET(L86,-1,0),1)&lt;=MAX(QCI!$D$13:$D$24),1+COUNTIF($L$13:OFFSET(L86,-1,0),1),-1),0)</f>
        <v>0</v>
      </c>
      <c r="F87" s="239" t="str">
        <f ca="1">IF(AND($E87&lt;&gt;-1,$R86&gt;0),"F","")</f>
        <v>F</v>
      </c>
      <c r="G87" s="252" t="str">
        <f ca="1">IF(OR(R86=0,R86=""),"vazia",IF(AND(OR(ACOMPANHAMENTO="PLE",$Q86&lt;&gt;2),$E87=0),"calculada","--&gt;"))</f>
        <v>calculada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4664.12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1</v>
      </c>
      <c r="C89" s="239">
        <f ca="1">IF($Q89&lt;&gt;2,0,IF($R89=0,1,IF(E90&gt;0,OFFSET(QCI!$N$13,SUBSTITUTE(E90,".",""),0),OFFSET(ORÇAMENTO!$AB$15,CRONO!$E89,0))/$R89))</f>
        <v>0</v>
      </c>
      <c r="D89" s="242">
        <f ca="1">IF(AND($Q89=2,ACOMPANHAMENTO="BM"),D90,D91/$R89)</f>
        <v>0</v>
      </c>
      <c r="E89" s="239">
        <f ca="1">IF(A89&lt;=ORÇAMENTO.MáximoListaCrono,MATCH(A89,ORÇAMENTO.ListaCrono,0),NA())</f>
        <v>208</v>
      </c>
      <c r="F89" s="239" t="str">
        <f ca="1">IF(AND($E90&lt;&gt;-1,$R89&gt;0),"F","")</f>
        <v>F</v>
      </c>
      <c r="G89" s="243">
        <f ca="1">IF(OR(R89=0,R89=""),"Linha",IF(AND(OR(ACOMPANHAMENTO="PLE",$Q89&lt;&gt;2),$E90=0),"Linha",1-SUM(T89:AF89)))</f>
        <v>0</v>
      </c>
      <c r="H89" s="244" t="str">
        <f ca="1">IF($E90=0,OFFSET(ORÇAMENTO!O$15,$E89,0),IF($E90&lt;&gt;-1,OFFSET(QCI!$D$13,$E90,0),""))</f>
        <v>4.1.</v>
      </c>
      <c r="I89" s="245" t="str">
        <f ca="1">IF($E90=0,OFFSET(ORÇAMENTO!R$15,$E89,0),IF($E90&lt;&gt;-1,OFFSET(QCI!$G$13,$E90,0),""))</f>
        <v>(REVESTIMENTOS/ INSTALAÇÕES HIDRAULICAS)</v>
      </c>
      <c r="J89" s="245"/>
      <c r="K89" s="245"/>
      <c r="L89" s="246">
        <f ca="1">IF($E90=0,OFFSET(ORÇAMENTO!C$15,$E89,0),1)</f>
        <v>2</v>
      </c>
      <c r="M89" s="247">
        <f ca="1">IF($E90=-1,0,IF(M$13&lt;=$L89,IF(ISERROR(MATCH(M$13,OFFSET($L89,1,0,ROW($L$164)-ROW($L89)-1),0)),ROW($L$164)-ROW($L89)-1,MATCH(M$13,OFFSET($L89,1,0,ROW($L$164)-ROW($L89)-1),0)-1),0))</f>
        <v>5</v>
      </c>
      <c r="N89" s="247">
        <f ca="1">IF($E90=-1,0,IF(N$13&lt;=$L89,IF(ISERROR(MATCH(N$13,OFFSET($L89,1,0,ROW($L$164)-ROW($L89)-1),0)),ROW($L$164)-ROW($L89)-1,MATCH(N$13,OFFSET($L89,1,0,ROW($L$164)-ROW($L89)-1),0)-1),0))</f>
        <v>2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2</v>
      </c>
      <c r="R89" s="248">
        <f ca="1">IF($E90=0,OFFSET(ORÇAMENTO!X$15,$E89,0),IF($E90&lt;&gt;-1,OFFSET(QCI!$O$13,$E90,0),""))</f>
        <v>4435.18</v>
      </c>
      <c r="S89" s="249" t="s">
        <v>269</v>
      </c>
      <c r="T89" s="250">
        <f t="shared" ref="T89:AE89" ca="1" si="28">IF(AND($Q89=2,ACOMPANHAMENTO="BM"),T90,T91/$R89)</f>
        <v>1</v>
      </c>
      <c r="U89" s="242">
        <f t="shared" ca="1" si="28"/>
        <v>0</v>
      </c>
      <c r="V89" s="242">
        <f t="shared" ca="1" si="28"/>
        <v>0</v>
      </c>
      <c r="W89" s="242">
        <f t="shared" ca="1" si="28"/>
        <v>0</v>
      </c>
      <c r="X89" s="242">
        <f t="shared" ca="1" si="28"/>
        <v>0</v>
      </c>
      <c r="Y89" s="242">
        <f t="shared" ca="1" si="28"/>
        <v>0</v>
      </c>
      <c r="Z89" s="242">
        <f t="shared" ca="1" si="28"/>
        <v>0</v>
      </c>
      <c r="AA89" s="242">
        <f t="shared" ca="1" si="28"/>
        <v>0</v>
      </c>
      <c r="AB89" s="242">
        <f t="shared" ca="1" si="28"/>
        <v>0</v>
      </c>
      <c r="AC89" s="242">
        <f t="shared" ca="1" si="28"/>
        <v>0</v>
      </c>
      <c r="AD89" s="242">
        <f t="shared" ca="1" si="28"/>
        <v>0</v>
      </c>
      <c r="AE89" s="251">
        <f t="shared" ca="1" si="28"/>
        <v>0</v>
      </c>
    </row>
    <row r="90" spans="1:32" ht="12.75" customHeight="1" x14ac:dyDescent="0.2">
      <c r="D90" s="620"/>
      <c r="E90" s="239">
        <f ca="1">IF(ISERROR(E89),IF(1+COUNTIF($L$13:OFFSET(L89,-1,0),1)&lt;=MAX(QCI!$D$13:$D$24),1+COUNTIF($L$13:OFFSET(L89,-1,0),1),-1),0)</f>
        <v>0</v>
      </c>
      <c r="F90" s="239" t="str">
        <f ca="1">IF(AND($E90&lt;&gt;-1,$R89&gt;0),"F","")</f>
        <v>F</v>
      </c>
      <c r="G90" s="252" t="str">
        <f ca="1">IF(OR(R89=0,R89=""),"vazia",IF(AND(OR(ACOMPANHAMENTO="PLE",$Q89&lt;&gt;2),$E90=0),"calculada","--&gt;"))</f>
        <v>--&gt;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>
        <v>1</v>
      </c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2$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4435.18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1.0000000000000002</v>
      </c>
      <c r="C92" s="239">
        <f ca="1">IF($Q92&lt;&gt;2,0,IF($R92=0,1,IF(E93&gt;0,OFFSET(QCI!$N$13,SUBSTITUTE(E93,".",""),0),OFFSET(ORÇAMENTO!$AB$15,CRONO!$E92,0))/$R92))</f>
        <v>0</v>
      </c>
      <c r="D92" s="242">
        <f ca="1">IF(AND($Q92=2,ACOMPANHAMENTO="BM"),D93,D94/$R92)</f>
        <v>0</v>
      </c>
      <c r="E92" s="239">
        <f ca="1">IF(A92&lt;=ORÇAMENTO.MáximoListaCrono,MATCH(A92,ORÇAMENTO.ListaCrono,0),NA())</f>
        <v>232</v>
      </c>
      <c r="F92" s="239" t="str">
        <f ca="1">IF(AND($E93&lt;&gt;-1,$R92&gt;0),"F","")</f>
        <v>F</v>
      </c>
      <c r="G92" s="243">
        <f ca="1">IF(OR(R92=0,R92=""),"Linha",IF(AND(OR(ACOMPANHAMENTO="PLE",$Q92&lt;&gt;2),$E93=0),"Linha",1-SUM(T92:AF92)))</f>
        <v>0</v>
      </c>
      <c r="H92" s="244" t="str">
        <f ca="1">IF($E93=0,OFFSET(ORÇAMENTO!O$15,$E92,0),IF($E93&lt;&gt;-1,OFFSET(QCI!$D$13,$E93,0),""))</f>
        <v>4.2.</v>
      </c>
      <c r="I92" s="245" t="str">
        <f ca="1">IF($E93=0,OFFSET(ORÇAMENTO!R$15,$E92,0),IF($E93&lt;&gt;-1,OFFSET(QCI!$G$13,$E93,0),""))</f>
        <v>(INSTALAÇÕES ELÉTRICAS)</v>
      </c>
      <c r="J92" s="245"/>
      <c r="K92" s="245"/>
      <c r="L92" s="246">
        <f ca="1">IF($E93=0,OFFSET(ORÇAMENTO!C$15,$E92,0),1)</f>
        <v>2</v>
      </c>
      <c r="M92" s="247">
        <f ca="1">IF($E93=-1,0,IF(M$13&lt;=$L92,IF(ISERROR(MATCH(M$13,OFFSET($L92,1,0,ROW($L$164)-ROW($L92)-1),0)),ROW($L$164)-ROW($L92)-1,MATCH(M$13,OFFSET($L92,1,0,ROW($L$164)-ROW($L92)-1),0)-1),0))</f>
        <v>2</v>
      </c>
      <c r="N92" s="247">
        <f ca="1">IF($E93=-1,0,IF(N$13&lt;=$L92,IF(ISERROR(MATCH(N$13,OFFSET($L92,1,0,ROW($L$164)-ROW($L92)-1),0)),ROW($L$164)-ROW($L92)-1,MATCH(N$13,OFFSET($L92,1,0,ROW($L$164)-ROW($L92)-1),0)-1),0))</f>
        <v>71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2</v>
      </c>
      <c r="R92" s="248">
        <f ca="1">IF($E93=0,OFFSET(ORÇAMENTO!X$15,$E92,0),IF($E93&lt;&gt;-1,OFFSET(QCI!$O$13,$E93,0),""))</f>
        <v>228.94</v>
      </c>
      <c r="S92" s="249" t="s">
        <v>269</v>
      </c>
      <c r="T92" s="250">
        <f t="shared" ref="T92:AE92" ca="1" si="29">IF(AND($Q92=2,ACOMPANHAMENTO="BM"),T93,T94/$R92)</f>
        <v>1</v>
      </c>
      <c r="U92" s="242">
        <f t="shared" ca="1" si="29"/>
        <v>0</v>
      </c>
      <c r="V92" s="242">
        <f t="shared" ca="1" si="29"/>
        <v>0</v>
      </c>
      <c r="W92" s="242">
        <f t="shared" ca="1" si="29"/>
        <v>0</v>
      </c>
      <c r="X92" s="242">
        <f t="shared" ca="1" si="29"/>
        <v>0</v>
      </c>
      <c r="Y92" s="242">
        <f t="shared" ca="1" si="29"/>
        <v>0</v>
      </c>
      <c r="Z92" s="242">
        <f t="shared" ca="1" si="29"/>
        <v>0</v>
      </c>
      <c r="AA92" s="242">
        <f t="shared" ca="1" si="29"/>
        <v>0</v>
      </c>
      <c r="AB92" s="242">
        <f t="shared" ca="1" si="29"/>
        <v>0</v>
      </c>
      <c r="AC92" s="242">
        <f t="shared" ca="1" si="29"/>
        <v>0</v>
      </c>
      <c r="AD92" s="242">
        <f t="shared" ca="1" si="29"/>
        <v>0</v>
      </c>
      <c r="AE92" s="251">
        <f t="shared" ca="1" si="29"/>
        <v>0</v>
      </c>
    </row>
    <row r="93" spans="1:32" ht="12.75" customHeight="1" x14ac:dyDescent="0.2">
      <c r="D93" s="620"/>
      <c r="E93" s="239">
        <f ca="1">IF(ISERROR(E92),IF(1+COUNTIF($L$13:OFFSET(L92,-1,0),1)&lt;=MAX(QCI!$D$13:$D$24),1+COUNTIF($L$13:OFFSET(L92,-1,0),1),-1),0)</f>
        <v>0</v>
      </c>
      <c r="F93" s="239" t="str">
        <f ca="1">IF(AND($E93&lt;&gt;-1,$R92&gt;0),"F","")</f>
        <v>F</v>
      </c>
      <c r="G93" s="252" t="str">
        <f ca="1">IF(OR(R92=0,R92=""),"vazia",IF(AND(OR(ACOMPANHAMENTO="PLE",$Q92&lt;&gt;2),$E93=0),"calculada","--&gt;"))</f>
        <v>--&gt;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>
        <v>1</v>
      </c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2$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228.94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1</v>
      </c>
      <c r="C95" s="239">
        <f ca="1">IF($Q95&lt;&gt;2,0,IF($R95=0,1,IF(E96&gt;0,OFFSET(QCI!$N$13,SUBSTITUTE(E96,".",""),0),OFFSET(ORÇAMENTO!$AB$15,CRONO!$E95,0))/$R95))</f>
        <v>1</v>
      </c>
      <c r="D95" s="242">
        <f ca="1">IF(AND($Q95=2,ACOMPANHAMENTO="BM"),D96,D97/$R95)</f>
        <v>0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>
        <f ca="1">IF($E96=0,OFFSET(ORÇAMENTO!O$15,$E95,0),IF($E96&lt;&gt;-1,OFFSET(QCI!$D$13,$E96,0),""))</f>
        <v>5</v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2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2</v>
      </c>
      <c r="R95" s="248">
        <f ca="1">IF($E96=0,OFFSET(ORÇAMENTO!X$15,$E95,0),IF($E96&lt;&gt;-1,OFFSET(QCI!$O$13,$E96,0),""))</f>
        <v>0</v>
      </c>
      <c r="S95" s="249" t="s">
        <v>269</v>
      </c>
      <c r="T95" s="250">
        <f t="shared" ref="T95:AE95" ca="1" si="30">IF(AND($Q95=2,ACOMPANHAMENTO="BM"),T96,T97/$R95)</f>
        <v>0</v>
      </c>
      <c r="U95" s="242">
        <f t="shared" ca="1" si="30"/>
        <v>0</v>
      </c>
      <c r="V95" s="242">
        <f t="shared" ca="1" si="30"/>
        <v>0</v>
      </c>
      <c r="W95" s="242">
        <f t="shared" ca="1" si="30"/>
        <v>0</v>
      </c>
      <c r="X95" s="242">
        <f t="shared" ca="1" si="30"/>
        <v>0</v>
      </c>
      <c r="Y95" s="242">
        <f t="shared" ca="1" si="30"/>
        <v>0</v>
      </c>
      <c r="Z95" s="242">
        <f t="shared" ca="1" si="30"/>
        <v>0</v>
      </c>
      <c r="AA95" s="242">
        <f t="shared" ca="1" si="30"/>
        <v>0</v>
      </c>
      <c r="AB95" s="242">
        <f t="shared" ca="1" si="30"/>
        <v>0</v>
      </c>
      <c r="AC95" s="242">
        <f t="shared" ca="1" si="30"/>
        <v>0</v>
      </c>
      <c r="AD95" s="242">
        <f t="shared" ca="1" si="30"/>
        <v>0</v>
      </c>
      <c r="AE95" s="251">
        <f t="shared" ca="1" si="30"/>
        <v>0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5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1</v>
      </c>
      <c r="C98" s="239">
        <f ca="1">IF($Q98&lt;&gt;2,0,IF($R98=0,1,IF(E99&gt;0,OFFSET(QCI!$N$13,SUBSTITUTE(E99,".",""),0),OFFSET(ORÇAMENTO!$AB$15,CRONO!$E98,0))/$R98))</f>
        <v>1</v>
      </c>
      <c r="D98" s="242">
        <f ca="1">IF(AND($Q98=2,ACOMPANHAMENTO="BM"),D99,D100/$R98)</f>
        <v>0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>
        <f ca="1">IF($E99=0,OFFSET(ORÇAMENTO!O$15,$E98,0),IF($E99&lt;&gt;-1,OFFSET(QCI!$D$13,$E99,0),""))</f>
        <v>6</v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2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2</v>
      </c>
      <c r="R98" s="248">
        <f ca="1">IF($E99=0,OFFSET(ORÇAMENTO!X$15,$E98,0),IF($E99&lt;&gt;-1,OFFSET(QCI!$O$13,$E99,0),""))</f>
        <v>0</v>
      </c>
      <c r="S98" s="249" t="s">
        <v>269</v>
      </c>
      <c r="T98" s="250">
        <f t="shared" ref="T98:AE98" ca="1" si="31">IF(AND($Q98=2,ACOMPANHAMENTO="BM"),T99,T100/$R98)</f>
        <v>0</v>
      </c>
      <c r="U98" s="242">
        <f t="shared" ca="1" si="31"/>
        <v>0</v>
      </c>
      <c r="V98" s="242">
        <f t="shared" ca="1" si="31"/>
        <v>0</v>
      </c>
      <c r="W98" s="242">
        <f t="shared" ca="1" si="31"/>
        <v>0</v>
      </c>
      <c r="X98" s="242">
        <f t="shared" ca="1" si="31"/>
        <v>0</v>
      </c>
      <c r="Y98" s="242">
        <f t="shared" ca="1" si="31"/>
        <v>0</v>
      </c>
      <c r="Z98" s="242">
        <f t="shared" ca="1" si="31"/>
        <v>0</v>
      </c>
      <c r="AA98" s="242">
        <f t="shared" ca="1" si="31"/>
        <v>0</v>
      </c>
      <c r="AB98" s="242">
        <f t="shared" ca="1" si="31"/>
        <v>0</v>
      </c>
      <c r="AC98" s="242">
        <f t="shared" ca="1" si="31"/>
        <v>0</v>
      </c>
      <c r="AD98" s="242">
        <f t="shared" ca="1" si="31"/>
        <v>0</v>
      </c>
      <c r="AE98" s="251">
        <f t="shared" ca="1" si="31"/>
        <v>0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6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1</v>
      </c>
      <c r="C101" s="239">
        <f ca="1">IF($Q101&lt;&gt;2,0,IF($R101=0,1,IF(E102&gt;0,OFFSET(QCI!$N$13,SUBSTITUTE(E102,".",""),0),OFFSET(ORÇAMENTO!$AB$15,CRONO!$E101,0))/$R101))</f>
        <v>1</v>
      </c>
      <c r="D101" s="242">
        <f ca="1">IF(AND($Q101=2,ACOMPANHAMENTO="BM"),D102,D103/$R101)</f>
        <v>0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>
        <f ca="1">IF($E102=0,OFFSET(ORÇAMENTO!O$15,$E101,0),IF($E102&lt;&gt;-1,OFFSET(QCI!$D$13,$E102,0),""))</f>
        <v>7</v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2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2</v>
      </c>
      <c r="R101" s="248">
        <f ca="1">IF($E102=0,OFFSET(ORÇAMENTO!X$15,$E101,0),IF($E102&lt;&gt;-1,OFFSET(QCI!$O$13,$E102,0),""))</f>
        <v>0</v>
      </c>
      <c r="S101" s="249" t="s">
        <v>269</v>
      </c>
      <c r="T101" s="250">
        <f t="shared" ref="T101:AE101" ca="1" si="32">IF(AND($Q101=2,ACOMPANHAMENTO="BM"),T102,T103/$R101)</f>
        <v>0</v>
      </c>
      <c r="U101" s="242">
        <f t="shared" ca="1" si="32"/>
        <v>0</v>
      </c>
      <c r="V101" s="242">
        <f t="shared" ca="1" si="32"/>
        <v>0</v>
      </c>
      <c r="W101" s="242">
        <f t="shared" ca="1" si="32"/>
        <v>0</v>
      </c>
      <c r="X101" s="242">
        <f t="shared" ca="1" si="32"/>
        <v>0</v>
      </c>
      <c r="Y101" s="242">
        <f t="shared" ca="1" si="32"/>
        <v>0</v>
      </c>
      <c r="Z101" s="242">
        <f t="shared" ca="1" si="32"/>
        <v>0</v>
      </c>
      <c r="AA101" s="242">
        <f t="shared" ca="1" si="32"/>
        <v>0</v>
      </c>
      <c r="AB101" s="242">
        <f t="shared" ca="1" si="32"/>
        <v>0</v>
      </c>
      <c r="AC101" s="242">
        <f t="shared" ca="1" si="32"/>
        <v>0</v>
      </c>
      <c r="AD101" s="242">
        <f t="shared" ca="1" si="32"/>
        <v>0</v>
      </c>
      <c r="AE101" s="251">
        <f t="shared" ca="1" si="32"/>
        <v>0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7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1</v>
      </c>
      <c r="C104" s="239">
        <f ca="1">IF($Q104&lt;&gt;2,0,IF($R104=0,1,IF(E105&gt;0,OFFSET(QCI!$N$13,SUBSTITUTE(E105,".",""),0),OFFSET(ORÇAMENTO!$AB$15,CRONO!$E104,0))/$R104))</f>
        <v>1</v>
      </c>
      <c r="D104" s="242">
        <f ca="1">IF(AND($Q104=2,ACOMPANHAMENTO="BM"),D105,D106/$R104)</f>
        <v>0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>
        <f ca="1">IF($E105=0,OFFSET(ORÇAMENTO!O$15,$E104,0),IF($E105&lt;&gt;-1,OFFSET(QCI!$D$13,$E105,0),""))</f>
        <v>8</v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2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2</v>
      </c>
      <c r="R104" s="248">
        <f ca="1">IF($E105=0,OFFSET(ORÇAMENTO!X$15,$E104,0),IF($E105&lt;&gt;-1,OFFSET(QCI!$O$13,$E105,0),""))</f>
        <v>0</v>
      </c>
      <c r="S104" s="249" t="s">
        <v>269</v>
      </c>
      <c r="T104" s="250">
        <f t="shared" ref="T104:AE104" ca="1" si="33">IF(AND($Q104=2,ACOMPANHAMENTO="BM"),T105,T106/$R104)</f>
        <v>0</v>
      </c>
      <c r="U104" s="242">
        <f t="shared" ca="1" si="33"/>
        <v>0</v>
      </c>
      <c r="V104" s="242">
        <f t="shared" ca="1" si="33"/>
        <v>0</v>
      </c>
      <c r="W104" s="242">
        <f t="shared" ca="1" si="33"/>
        <v>0</v>
      </c>
      <c r="X104" s="242">
        <f t="shared" ca="1" si="33"/>
        <v>0</v>
      </c>
      <c r="Y104" s="242">
        <f t="shared" ca="1" si="33"/>
        <v>0</v>
      </c>
      <c r="Z104" s="242">
        <f t="shared" ca="1" si="33"/>
        <v>0</v>
      </c>
      <c r="AA104" s="242">
        <f t="shared" ca="1" si="33"/>
        <v>0</v>
      </c>
      <c r="AB104" s="242">
        <f t="shared" ca="1" si="33"/>
        <v>0</v>
      </c>
      <c r="AC104" s="242">
        <f t="shared" ca="1" si="33"/>
        <v>0</v>
      </c>
      <c r="AD104" s="242">
        <f t="shared" ca="1" si="33"/>
        <v>0</v>
      </c>
      <c r="AE104" s="251">
        <f t="shared" ca="1" si="33"/>
        <v>0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8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1</v>
      </c>
      <c r="C107" s="239">
        <f ca="1">IF($Q107&lt;&gt;2,0,IF($R107=0,1,IF(E108&gt;0,OFFSET(QCI!$N$13,SUBSTITUTE(E108,".",""),0),OFFSET(ORÇAMENTO!$AB$15,CRONO!$E107,0))/$R107))</f>
        <v>1</v>
      </c>
      <c r="D107" s="242">
        <f ca="1">IF(AND($Q107=2,ACOMPANHAMENTO="BM"),D108,D109/$R107)</f>
        <v>0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>
        <f ca="1">IF($E108=0,OFFSET(ORÇAMENTO!O$15,$E107,0),IF($E108&lt;&gt;-1,OFFSET(QCI!$D$13,$E108,0),""))</f>
        <v>9</v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2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2</v>
      </c>
      <c r="R107" s="248">
        <f ca="1">IF($E108=0,OFFSET(ORÇAMENTO!X$15,$E107,0),IF($E108&lt;&gt;-1,OFFSET(QCI!$O$13,$E108,0),""))</f>
        <v>0</v>
      </c>
      <c r="S107" s="249" t="s">
        <v>269</v>
      </c>
      <c r="T107" s="250">
        <f t="shared" ref="T107:AE107" ca="1" si="34">IF(AND($Q107=2,ACOMPANHAMENTO="BM"),T108,T109/$R107)</f>
        <v>0</v>
      </c>
      <c r="U107" s="242">
        <f t="shared" ca="1" si="34"/>
        <v>0</v>
      </c>
      <c r="V107" s="242">
        <f t="shared" ca="1" si="34"/>
        <v>0</v>
      </c>
      <c r="W107" s="242">
        <f t="shared" ca="1" si="34"/>
        <v>0</v>
      </c>
      <c r="X107" s="242">
        <f t="shared" ca="1" si="34"/>
        <v>0</v>
      </c>
      <c r="Y107" s="242">
        <f t="shared" ca="1" si="34"/>
        <v>0</v>
      </c>
      <c r="Z107" s="242">
        <f t="shared" ca="1" si="34"/>
        <v>0</v>
      </c>
      <c r="AA107" s="242">
        <f t="shared" ca="1" si="34"/>
        <v>0</v>
      </c>
      <c r="AB107" s="242">
        <f t="shared" ca="1" si="34"/>
        <v>0</v>
      </c>
      <c r="AC107" s="242">
        <f t="shared" ca="1" si="34"/>
        <v>0</v>
      </c>
      <c r="AD107" s="242">
        <f t="shared" ca="1" si="34"/>
        <v>0</v>
      </c>
      <c r="AE107" s="251">
        <f t="shared" ca="1" si="34"/>
        <v>0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9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1</v>
      </c>
      <c r="C110" s="239">
        <f ca="1">IF($Q110&lt;&gt;2,0,IF($R110=0,1,IF(E111&gt;0,OFFSET(QCI!$N$13,SUBSTITUTE(E111,".",""),0),OFFSET(ORÇAMENTO!$AB$15,CRONO!$E110,0))/$R110))</f>
        <v>1</v>
      </c>
      <c r="D110" s="242">
        <f ca="1">IF(AND($Q110=2,ACOMPANHAMENTO="BM"),D111,D112/$R110)</f>
        <v>0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>
        <f ca="1">IF($E111=0,OFFSET(ORÇAMENTO!O$15,$E110,0),IF($E111&lt;&gt;-1,OFFSET(QCI!$D$13,$E111,0),""))</f>
        <v>10</v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2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2</v>
      </c>
      <c r="R110" s="248">
        <f ca="1">IF($E111=0,OFFSET(ORÇAMENTO!X$15,$E110,0),IF($E111&lt;&gt;-1,OFFSET(QCI!$O$13,$E111,0),""))</f>
        <v>0</v>
      </c>
      <c r="S110" s="249" t="s">
        <v>269</v>
      </c>
      <c r="T110" s="250">
        <f t="shared" ref="T110:AE110" ca="1" si="35">IF(AND($Q110=2,ACOMPANHAMENTO="BM"),T111,T112/$R110)</f>
        <v>0</v>
      </c>
      <c r="U110" s="242">
        <f t="shared" ca="1" si="35"/>
        <v>0</v>
      </c>
      <c r="V110" s="242">
        <f t="shared" ca="1" si="35"/>
        <v>0</v>
      </c>
      <c r="W110" s="242">
        <f t="shared" ca="1" si="35"/>
        <v>0</v>
      </c>
      <c r="X110" s="242">
        <f t="shared" ca="1" si="35"/>
        <v>0</v>
      </c>
      <c r="Y110" s="242">
        <f t="shared" ca="1" si="35"/>
        <v>0</v>
      </c>
      <c r="Z110" s="242">
        <f t="shared" ca="1" si="35"/>
        <v>0</v>
      </c>
      <c r="AA110" s="242">
        <f t="shared" ca="1" si="35"/>
        <v>0</v>
      </c>
      <c r="AB110" s="242">
        <f t="shared" ca="1" si="35"/>
        <v>0</v>
      </c>
      <c r="AC110" s="242">
        <f t="shared" ca="1" si="35"/>
        <v>0</v>
      </c>
      <c r="AD110" s="242">
        <f t="shared" ca="1" si="35"/>
        <v>0</v>
      </c>
      <c r="AE110" s="251">
        <f t="shared" ca="1" si="35"/>
        <v>0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10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4" t="str">
        <f ca="1">"Total:    R$ "&amp;TEXT(Q165,"#.##0,00")</f>
        <v>Total:    R$ 160.564,95</v>
      </c>
      <c r="I165" s="724"/>
      <c r="J165" s="724"/>
      <c r="K165" s="291"/>
      <c r="Q165" s="292">
        <f ca="1">SUMIF(L12:L164,1,R12:R164)</f>
        <v>160564.95000000001</v>
      </c>
      <c r="R165" s="293"/>
      <c r="S165" s="294" t="s">
        <v>281</v>
      </c>
      <c r="T165" s="295">
        <f t="shared" ref="T165:AE165" ca="1" si="53">ROUND(T169,2)/$Q$165</f>
        <v>0.1377290000090306</v>
      </c>
      <c r="U165" s="296">
        <f t="shared" ca="1" si="53"/>
        <v>0.12464276917222593</v>
      </c>
      <c r="V165" s="296">
        <f t="shared" ca="1" si="53"/>
        <v>0.53407066735299324</v>
      </c>
      <c r="W165" s="296">
        <f t="shared" ca="1" si="53"/>
        <v>0.20355756346575013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4"/>
      <c r="I166" s="724"/>
      <c r="J166" s="724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22114.45</v>
      </c>
      <c r="U167" s="309">
        <f t="shared" ref="U167:AE167" ca="1" si="55">ROUND(U172,2)-ROUND(T172,2)</f>
        <v>20013.259999999998</v>
      </c>
      <c r="V167" s="309">
        <f t="shared" ca="1" si="55"/>
        <v>85753.03</v>
      </c>
      <c r="W167" s="309">
        <f t="shared" ca="1" si="55"/>
        <v>32684.210000000006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22114.45</v>
      </c>
      <c r="U169" s="321">
        <f t="shared" ref="U169:AE169" ca="1" si="57">ROUND(U174,2)-ROUND(T174,2)</f>
        <v>20013.259999999998</v>
      </c>
      <c r="V169" s="321">
        <f t="shared" ca="1" si="57"/>
        <v>85753.03</v>
      </c>
      <c r="W169" s="321">
        <f t="shared" ca="1" si="57"/>
        <v>32684.210000000006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0.1377290000090306</v>
      </c>
      <c r="U170" s="296">
        <f t="shared" ref="U170:AE170" ca="1" si="58">ROUND(U174,2)/$Q$165</f>
        <v>0.26237176918125654</v>
      </c>
      <c r="V170" s="296">
        <f t="shared" ca="1" si="58"/>
        <v>0.79644243653424984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22114.452499999996</v>
      </c>
      <c r="U172" s="309">
        <f t="array" aca="1" ref="U172" ca="1">T172+SUM((OFFSET($B$13,1,0):OFFSET($B$164,-3,0))*IF(ISNUMBER(OFFSET(U$11,5,0):OFFSET(U$164,-1,0)),OFFSET(U$11,5,0):OFFSET(U$164,-1,0),0))</f>
        <v>42127.70749999999</v>
      </c>
      <c r="V172" s="309">
        <f t="array" aca="1" ref="V172" ca="1">U172+SUM((OFFSET($B$13,1,0):OFFSET($B$164,-3,0))*IF(ISNUMBER(OFFSET(V$11,5,0):OFFSET(V$164,-1,0)),OFFSET(V$11,5,0):OFFSET(V$164,-1,0),0))</f>
        <v>127880.74250000001</v>
      </c>
      <c r="W172" s="309">
        <f t="array" aca="1" ref="W172" ca="1">V172+SUM((OFFSET($B$13,1,0):OFFSET($B$164,-3,0))*IF(ISNUMBER(OFFSET(W$11,5,0):OFFSET(W$164,-1,0)),OFFSET(W$11,5,0):OFFSET(W$164,-1,0),0))</f>
        <v>160564.95000000001</v>
      </c>
      <c r="X172" s="309">
        <f t="array" aca="1" ref="X172" ca="1">W172+SUM((OFFSET($B$13,1,0):OFFSET($B$164,-3,0))*IF(ISNUMBER(OFFSET(X$11,5,0):OFFSET(X$164,-1,0)),OFFSET(X$11,5,0):OFFSET(X$164,-1,0),0))</f>
        <v>160564.95000000001</v>
      </c>
      <c r="Y172" s="309">
        <f t="array" aca="1" ref="Y172" ca="1">X172+SUM((OFFSET($B$13,1,0):OFFSET($B$164,-3,0))*IF(ISNUMBER(OFFSET(Y$11,5,0):OFFSET(Y$164,-1,0)),OFFSET(Y$11,5,0):OFFSET(Y$164,-1,0),0))</f>
        <v>160564.95000000001</v>
      </c>
      <c r="Z172" s="309">
        <f t="array" aca="1" ref="Z172" ca="1">Y172+SUM((OFFSET($B$13,1,0):OFFSET($B$164,-3,0))*IF(ISNUMBER(OFFSET(Z$11,5,0):OFFSET(Z$164,-1,0)),OFFSET(Z$11,5,0):OFFSET(Z$164,-1,0),0))</f>
        <v>160564.95000000001</v>
      </c>
      <c r="AA172" s="309">
        <f t="array" aca="1" ref="AA172" ca="1">Z172+SUM((OFFSET($B$13,1,0):OFFSET($B$164,-3,0))*IF(ISNUMBER(OFFSET(AA$11,5,0):OFFSET(AA$164,-1,0)),OFFSET(AA$11,5,0):OFFSET(AA$164,-1,0),0))</f>
        <v>160564.95000000001</v>
      </c>
      <c r="AB172" s="309">
        <f t="array" aca="1" ref="AB172" ca="1">AA172+SUM((OFFSET($B$13,1,0):OFFSET($B$164,-3,0))*IF(ISNUMBER(OFFSET(AB$11,5,0):OFFSET(AB$164,-1,0)),OFFSET(AB$11,5,0):OFFSET(AB$164,-1,0),0))</f>
        <v>160564.95000000001</v>
      </c>
      <c r="AC172" s="309">
        <f t="array" aca="1" ref="AC172" ca="1">AB172+SUM((OFFSET($B$13,1,0):OFFSET($B$164,-3,0))*IF(ISNUMBER(OFFSET(AC$11,5,0):OFFSET(AC$164,-1,0)),OFFSET(AC$11,5,0):OFFSET(AC$164,-1,0),0))</f>
        <v>160564.95000000001</v>
      </c>
      <c r="AD172" s="309">
        <f t="array" aca="1" ref="AD172" ca="1">AC172+SUM((OFFSET($B$13,1,0):OFFSET($B$164,-3,0))*IF(ISNUMBER(OFFSET(AD$11,5,0):OFFSET(AD$164,-1,0)),OFFSET(AD$11,5,0):OFFSET(AD$164,-1,0),0))</f>
        <v>160564.95000000001</v>
      </c>
      <c r="AE172" s="310">
        <f t="array" aca="1" ref="AE172" ca="1">AD172+SUM((OFFSET($B$13,1,0):OFFSET($B$164,-3,0))*IF(ISNUMBER(OFFSET(AE$11,5,0):OFFSET(AE$164,-1,0)),OFFSET(AE$11,5,0):OFFSET(AE$164,-1,0),0))</f>
        <v>160564.95000000001</v>
      </c>
      <c r="AF172" s="240">
        <f ca="1">AE172+SUMPRODUCT((OFFSET($C$13,1,0):OFFSET($C$164,-3,0))*IF(ISNUMBER(OFFSET(AF$11,5,0):OFFSET(AF$164,-1,0)),OFFSET(AF$11,5,0):OFFSET(AF$164,-1,0),0))</f>
        <v>160564.95000000001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22114.452499999999</v>
      </c>
      <c r="U174" s="321">
        <f t="shared" ref="U174:AF174" ca="1" si="60">T174+SUMIF($R$12:$R$164,"1$",U12:U164)</f>
        <v>42127.707499999997</v>
      </c>
      <c r="V174" s="321">
        <f t="shared" ca="1" si="60"/>
        <v>127880.74249999999</v>
      </c>
      <c r="W174" s="321">
        <f t="shared" ca="1" si="60"/>
        <v>160564.94999999998</v>
      </c>
      <c r="X174" s="321">
        <f t="shared" ca="1" si="60"/>
        <v>160564.94999999998</v>
      </c>
      <c r="Y174" s="321">
        <f t="shared" ca="1" si="60"/>
        <v>160564.94999999998</v>
      </c>
      <c r="Z174" s="321">
        <f t="shared" ca="1" si="60"/>
        <v>160564.94999999998</v>
      </c>
      <c r="AA174" s="321">
        <f t="shared" ca="1" si="60"/>
        <v>160564.94999999998</v>
      </c>
      <c r="AB174" s="321">
        <f t="shared" ca="1" si="60"/>
        <v>160564.94999999998</v>
      </c>
      <c r="AC174" s="321">
        <f t="shared" ca="1" si="60"/>
        <v>160564.94999999998</v>
      </c>
      <c r="AD174" s="321">
        <f t="shared" ca="1" si="60"/>
        <v>160564.94999999998</v>
      </c>
      <c r="AE174" s="322">
        <f t="shared" ca="1" si="60"/>
        <v>160564.94999999998</v>
      </c>
      <c r="AF174" s="240">
        <f t="shared" ca="1" si="60"/>
        <v>160564.94999999998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6" t="str">
        <f>Import.Município</f>
        <v xml:space="preserve">CÉU AZUL </v>
      </c>
      <c r="I176" s="706"/>
      <c r="J176" s="706"/>
      <c r="K176" s="706"/>
      <c r="L176" s="706"/>
      <c r="M176" s="706"/>
      <c r="N176" s="706"/>
      <c r="O176" s="706"/>
      <c r="P176" s="706"/>
      <c r="Q176" s="706"/>
      <c r="R176" s="706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6">
        <f>DADOS!$F$25</f>
        <v>43975</v>
      </c>
      <c r="I179" s="716"/>
      <c r="J179" s="716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27735/D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8" t="s">
        <v>265</v>
      </c>
      <c r="C12" s="728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8"/>
      <c r="C13" s="728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INICIAIS)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(FUNDAÇÕES RASAS, VIGAS, PILARES, VIGAS BALDRAME)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(REVESTIMENTOS)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(ESQUADRIAS METALICAS/PORTAS DE MADEIRA)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(INSTALAÇÕES ELETRICAS)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(INSTALAÇÕES HIDRAULICAS)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(FUNDAÇÕES RASAS , VIGAS , PILARES, VIGAS BALDRAME)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(COBERTURAS / ESTRUTURA METALICA)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7">
        <f t="shared" ca="1" si="1"/>
        <v>10</v>
      </c>
      <c r="C24" s="328" t="str">
        <f ca="1">IF(AUTOEVENTO="Manual",IF($B24&lt;&gt;1,OFFSET(EVENTOS!$D$14,$B24,0),0),IF(B24&lt;=MAX(CÁLCULO!$M$15:$M$266),VLOOKUP($B24,CÁLCULO!$M$15:$N$266,2,FALSE),0))</f>
        <v>(REVESTIMENTOS)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7">
        <f t="shared" ca="1" si="1"/>
        <v>11</v>
      </c>
      <c r="C25" s="328" t="str">
        <f ca="1">IF(AUTOEVENTO="Manual",IF($B25&lt;&gt;1,OFFSET(EVENTOS!$D$14,$B25,0),0),IF(B25&lt;=MAX(CÁLCULO!$M$15:$M$266),VLOOKUP($B25,CÁLCULO!$M$15:$N$266,2,FALSE),0))</f>
        <v>(ESQUADRIAS METALICAS / PORTAS METALICAS)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7">
        <f t="shared" ca="1" si="1"/>
        <v>12</v>
      </c>
      <c r="C26" s="328" t="str">
        <f ca="1">IF(AUTOEVENTO="Manual",IF($B26&lt;&gt;1,OFFSET(EVENTOS!$D$14,$B26,0),0),IF(B26&lt;=MAX(CÁLCULO!$M$15:$M$266),VLOOKUP($B26,CÁLCULO!$M$15:$N$266,2,FALSE),0))</f>
        <v>(INSTALAÇÕES ELÉTRICAS)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>F</v>
      </c>
      <c r="B27" s="327">
        <f t="shared" ca="1" si="1"/>
        <v>13</v>
      </c>
      <c r="C27" s="328" t="str">
        <f ca="1">IF(AUTOEVENTO="Manual",IF($B27&lt;&gt;1,OFFSET(EVENTOS!$D$14,$B27,0),0),IF(B27&lt;=MAX(CÁLCULO!$M$15:$M$266),VLOOKUP($B27,CÁLCULO!$M$15:$N$266,2,FALSE),0))</f>
        <v>(COBERTURA ALUZINCO)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>F</v>
      </c>
      <c r="B28" s="327">
        <f t="shared" ca="1" si="1"/>
        <v>14</v>
      </c>
      <c r="C28" s="328" t="str">
        <f ca="1">IF(AUTOEVENTO="Manual",IF($B28&lt;&gt;1,OFFSET(EVENTOS!$D$14,$B28,0),0),IF(B28&lt;=MAX(CÁLCULO!$M$15:$M$266),VLOOKUP($B28,CÁLCULO!$M$15:$N$266,2,FALSE),0))</f>
        <v>(FUNDAÇÕES RASAS, VIGA BALDRAME, PILARES, VIGAS)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>F</v>
      </c>
      <c r="B29" s="327">
        <f t="shared" ca="1" si="1"/>
        <v>15</v>
      </c>
      <c r="C29" s="328" t="str">
        <f ca="1">IF(AUTOEVENTO="Manual",IF($B29&lt;&gt;1,OFFSET(EVENTOS!$D$14,$B29,0),0),IF(B29&lt;=MAX(CÁLCULO!$M$15:$M$266),VLOOKUP($B29,CÁLCULO!$M$15:$N$266,2,FALSE),0))</f>
        <v>(COBERTURAS / FORROS)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>F</v>
      </c>
      <c r="B30" s="327">
        <f t="shared" ca="1" si="1"/>
        <v>16</v>
      </c>
      <c r="C30" s="328" t="str">
        <f ca="1">IF(AUTOEVENTO="Manual",IF($B30&lt;&gt;1,OFFSET(EVENTOS!$D$14,$B30,0),0),IF(B30&lt;=MAX(CÁLCULO!$M$15:$M$266),VLOOKUP($B30,CÁLCULO!$M$15:$N$266,2,FALSE),0))</f>
        <v>(REVESTIMENTOS)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>F</v>
      </c>
      <c r="B31" s="327">
        <f t="shared" ca="1" si="1"/>
        <v>17</v>
      </c>
      <c r="C31" s="328" t="str">
        <f ca="1">IF(AUTOEVENTO="Manual",IF($B31&lt;&gt;1,OFFSET(EVENTOS!$D$14,$B31,0),0),IF(B31&lt;=MAX(CÁLCULO!$M$15:$M$266),VLOOKUP($B31,CÁLCULO!$M$15:$N$266,2,FALSE),0))</f>
        <v>(ESQUADRIAS METALICAS , PORTAS , TELAS MILIMETRICAS)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>F</v>
      </c>
      <c r="B32" s="327">
        <f t="shared" ca="1" si="1"/>
        <v>18</v>
      </c>
      <c r="C32" s="328" t="str">
        <f ca="1">IF(AUTOEVENTO="Manual",IF($B32&lt;&gt;1,OFFSET(EVENTOS!$D$14,$B32,0),0),IF(B32&lt;=MAX(CÁLCULO!$M$15:$M$266),VLOOKUP($B32,CÁLCULO!$M$15:$N$266,2,FALSE),0))</f>
        <v>(INSTALAÇOES ELETRICAS)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>F</v>
      </c>
      <c r="B33" s="327">
        <f t="shared" ca="1" si="1"/>
        <v>19</v>
      </c>
      <c r="C33" s="328" t="str">
        <f ca="1">IF(AUTOEVENTO="Manual",IF($B33&lt;&gt;1,OFFSET(EVENTOS!$D$14,$B33,0),0),IF(B33&lt;=MAX(CÁLCULO!$M$15:$M$266),VLOOKUP($B33,CÁLCULO!$M$15:$N$266,2,FALSE),0))</f>
        <v>(INSTALAÇÕES HIDRAULICAS)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>F</v>
      </c>
      <c r="B34" s="327">
        <f t="shared" ca="1" si="1"/>
        <v>20</v>
      </c>
      <c r="C34" s="328" t="str">
        <f ca="1">IF(AUTOEVENTO="Manual",IF($B34&lt;&gt;1,OFFSET(EVENTOS!$D$14,$B34,0),0),IF(B34&lt;=MAX(CÁLCULO!$M$15:$M$266),VLOOKUP($B34,CÁLCULO!$M$15:$N$266,2,FALSE),0))</f>
        <v>(SAGUÃO)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>F</v>
      </c>
      <c r="B35" s="327">
        <f t="shared" ca="1" si="1"/>
        <v>21</v>
      </c>
      <c r="C35" s="328" t="str">
        <f ca="1">IF(AUTOEVENTO="Manual",IF($B35&lt;&gt;1,OFFSET(EVENTOS!$D$14,$B35,0),0),IF(B35&lt;=MAX(CÁLCULO!$M$15:$M$266),VLOOKUP($B35,CÁLCULO!$M$15:$N$266,2,FALSE),0))</f>
        <v>(EXAUSTORES / TELAS MILIMETRICAS)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>F</v>
      </c>
      <c r="B36" s="327">
        <f t="shared" ca="1" si="1"/>
        <v>22</v>
      </c>
      <c r="C36" s="328" t="str">
        <f ca="1">IF(AUTOEVENTO="Manual",IF($B36&lt;&gt;1,OFFSET(EVENTOS!$D$14,$B36,0),0),IF(B36&lt;=MAX(CÁLCULO!$M$15:$M$266),VLOOKUP($B36,CÁLCULO!$M$15:$N$266,2,FALSE),0))</f>
        <v>(INSTALAÇÕES DE PREVENÇÃO CONTRA INCÊNDIO )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>F</v>
      </c>
      <c r="B37" s="327">
        <f t="shared" ca="1" si="1"/>
        <v>23</v>
      </c>
      <c r="C37" s="328" t="str">
        <f ca="1">IF(AUTOEVENTO="Manual",IF($B37&lt;&gt;1,OFFSET(EVENTOS!$D$14,$B37,0),0),IF(B37&lt;=MAX(CÁLCULO!$M$15:$M$266),VLOOKUP($B37,CÁLCULO!$M$15:$N$266,2,FALSE),0))</f>
        <v>(REVESTIMENTOS/ INSTALAÇÕES HIDRAULICAS)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>F</v>
      </c>
      <c r="B38" s="327">
        <f t="shared" ca="1" si="1"/>
        <v>24</v>
      </c>
      <c r="C38" s="328" t="str">
        <f ca="1">IF(AUTOEVENTO="Manual",IF($B38&lt;&gt;1,OFFSET(EVENTOS!$D$14,$B38,0),0),IF(B38&lt;=MAX(CÁLCULO!$M$15:$M$266),VLOOKUP($B38,CÁLCULO!$M$15:$N$266,2,FALSE),0))</f>
        <v>(INSTALAÇÕES ELÉTRICAS)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3" t="e">
        <f ca="1">IF(AUTOEVENTO="Manual",IF($B1&lt;&gt;1,OFFSET(EVENTOS!$D$14,$B1,0),0),IF(B1&lt;=MAX(CÁLCULO!$M$15:$M$266),VLOOKUP($B1,CÁLCULO!$M$15:$N$266,2,FALSE),0))</f>
        <v>#REF!</v>
      </c>
      <c r="D1" s="743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8" t="s">
        <v>139</v>
      </c>
      <c r="AE3" s="688"/>
      <c r="AF3" s="688"/>
    </row>
    <row r="4" spans="1:33" ht="15.75" x14ac:dyDescent="0.2">
      <c r="B4" s="103"/>
      <c r="C4" s="103"/>
      <c r="H4" s="107" t="str">
        <f>import.recurso</f>
        <v>(SELECIONAR)</v>
      </c>
      <c r="AD4" s="689" t="s">
        <v>142</v>
      </c>
      <c r="AE4" s="689"/>
      <c r="AF4" s="689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6" t="str">
        <f>IF(TIPOORCAMENTO="Licitado","Nº CTEF","")</f>
        <v/>
      </c>
      <c r="AF6" s="746"/>
    </row>
    <row r="7" spans="1:33" x14ac:dyDescent="0.2">
      <c r="B7" s="721">
        <f>Import.CR</f>
        <v>0</v>
      </c>
      <c r="C7" s="721"/>
      <c r="D7" s="274">
        <f>Import.SICONV</f>
        <v>0</v>
      </c>
      <c r="E7" s="55"/>
      <c r="H7" s="720" t="str">
        <f>Import.Proponente</f>
        <v xml:space="preserve">MUNICIPIO DE CÉU AZUL </v>
      </c>
      <c r="I7" s="720"/>
      <c r="J7" s="720"/>
      <c r="K7" s="720"/>
      <c r="L7" s="720"/>
      <c r="M7" s="720"/>
      <c r="N7" s="720"/>
      <c r="O7" s="721" t="str">
        <f>Import.Apelido</f>
        <v xml:space="preserve">REFORMA E AMPLIAÇÃO DA ESCOLA OLAVO BILAC </v>
      </c>
      <c r="P7" s="721"/>
      <c r="Q7" s="721"/>
      <c r="R7" s="721"/>
      <c r="S7" s="721"/>
      <c r="T7" s="721"/>
      <c r="U7" s="721"/>
      <c r="V7" s="721">
        <f>IF(TIPOORCAMENTO="Licitado",Import.empresa,Import.DescLote)</f>
        <v>0</v>
      </c>
      <c r="W7" s="721"/>
      <c r="X7" s="721"/>
      <c r="Y7" s="721"/>
      <c r="Z7" s="721"/>
      <c r="AA7" s="721"/>
      <c r="AB7" s="721"/>
      <c r="AC7" s="721"/>
      <c r="AD7" s="721"/>
      <c r="AE7" s="750" t="str">
        <f>IF(TIPOORCAMENTO="Licitado",Import.CTEF,"")</f>
        <v/>
      </c>
      <c r="AF7" s="750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8">
        <v>1</v>
      </c>
      <c r="K9" s="748"/>
      <c r="M9" s="348" t="s">
        <v>282</v>
      </c>
      <c r="N9" s="7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9"/>
      <c r="P9" s="749"/>
      <c r="Q9" s="749"/>
      <c r="R9" s="749"/>
      <c r="S9" s="749"/>
      <c r="T9" s="749"/>
      <c r="U9" s="349"/>
      <c r="X9" s="348" t="s">
        <v>294</v>
      </c>
      <c r="Y9" s="751">
        <f ca="1">OFFSET($I$69,1+8*(ROUNDUP(($J$9-0)/((COLUMN($AG$14)-COLUMN($G$14)-1)/25*12),0)-1),ROUNDDOWN((($J$9-0)-OFFSET($I$69,8*(ROUNDUP(($J$9-0)/((COLUMN($AG$14)-COLUMN($G$14)-1)/25*12),0)-1),0))*(2+1/12),0))</f>
        <v>0</v>
      </c>
      <c r="Z9" s="751"/>
      <c r="AD9" s="348" t="s">
        <v>295</v>
      </c>
      <c r="AE9" s="751">
        <f ca="1">OFFSET($I$69,3+8*(ROUNDUP(($J$9-0)/((COLUMN($AG$14)-COLUMN($G$14)-1)/25*12),0)-1),ROUNDDOWN((($J$9-0)-OFFSET($I$69,8*(ROUNDUP(($J$9-0)/((COLUMN($AG$14)-COLUMN($G$14)-1)/25*12),0)-1),0))*(2+1/12),0))</f>
        <v>0</v>
      </c>
      <c r="AF9" s="751"/>
    </row>
    <row r="11" spans="1:33" ht="65.25" customHeight="1" x14ac:dyDescent="0.2">
      <c r="A11" s="331" t="s">
        <v>289</v>
      </c>
      <c r="C11" s="7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7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8" t="s">
        <v>265</v>
      </c>
      <c r="C12" s="728" t="s">
        <v>290</v>
      </c>
      <c r="D12" s="728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8"/>
      <c r="C13" s="728"/>
      <c r="D13" s="728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5" t="s">
        <v>268</v>
      </c>
      <c r="D15" s="745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3" t="str">
        <f ca="1">IF(AUTOEVENTO="Manual",IF($B16&lt;&gt;1,OFFSET(EVENTOS!$D$14,$B16,0),0),IF(B16&lt;=MAX(CÁLCULO!$M$15:$M$266),VLOOKUP($B16,CÁLCULO!$M$15:$N$266,2,FALSE),0))</f>
        <v>(SERVIÇOS INICIAIS)</v>
      </c>
      <c r="D16" s="743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3" t="str">
        <f ca="1">IF(AUTOEVENTO="Manual",IF($B17&lt;&gt;1,OFFSET(EVENTOS!$D$14,$B17,0),0),IF(B17&lt;=MAX(CÁLCULO!$M$15:$M$266),VLOOKUP($B17,CÁLCULO!$M$15:$N$266,2,FALSE),0))</f>
        <v>(FUNDAÇÕES RASAS, VIGAS, PILARES, VIGAS BALDRAME)</v>
      </c>
      <c r="D17" s="743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3" t="str">
        <f ca="1">IF(AUTOEVENTO="Manual",IF($B18&lt;&gt;1,OFFSET(EVENTOS!$D$14,$B18,0),0),IF(B18&lt;=MAX(CÁLCULO!$M$15:$M$266),VLOOKUP($B18,CÁLCULO!$M$15:$N$266,2,FALSE),0))</f>
        <v>(REVESTIMENTOS)</v>
      </c>
      <c r="D18" s="743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3" t="str">
        <f ca="1">IF(AUTOEVENTO="Manual",IF($B19&lt;&gt;1,OFFSET(EVENTOS!$D$14,$B19,0),0),IF(B19&lt;=MAX(CÁLCULO!$M$15:$M$266),VLOOKUP($B19,CÁLCULO!$M$15:$N$266,2,FALSE),0))</f>
        <v>(ESQUADRIAS METALICAS/PORTAS DE MADEIRA)</v>
      </c>
      <c r="D19" s="743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3" t="str">
        <f ca="1">IF(AUTOEVENTO="Manual",IF($B20&lt;&gt;1,OFFSET(EVENTOS!$D$14,$B20,0),0),IF(B20&lt;=MAX(CÁLCULO!$M$15:$M$266),VLOOKUP($B20,CÁLCULO!$M$15:$N$266,2,FALSE),0))</f>
        <v>(INSTALAÇÕES ELETRICAS)</v>
      </c>
      <c r="D20" s="743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43" t="str">
        <f ca="1">IF(AUTOEVENTO="Manual",IF($B21&lt;&gt;1,OFFSET(EVENTOS!$D$14,$B21,0),0),IF(B21&lt;=MAX(CÁLCULO!$M$15:$M$266),VLOOKUP($B21,CÁLCULO!$M$15:$N$266,2,FALSE),0))</f>
        <v>(INSTALAÇÕES HIDRAULICAS)</v>
      </c>
      <c r="D21" s="743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43" t="str">
        <f ca="1">IF(AUTOEVENTO="Manual",IF($B22&lt;&gt;1,OFFSET(EVENTOS!$D$14,$B22,0),0),IF(B22&lt;=MAX(CÁLCULO!$M$15:$M$266),VLOOKUP($B22,CÁLCULO!$M$15:$N$266,2,FALSE),0))</f>
        <v>(FUNDAÇÕES RASAS , VIGAS , PILARES, VIGAS BALDRAME)</v>
      </c>
      <c r="D22" s="743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43" t="str">
        <f ca="1">IF(AUTOEVENTO="Manual",IF($B23&lt;&gt;1,OFFSET(EVENTOS!$D$14,$B23,0),0),IF(B23&lt;=MAX(CÁLCULO!$M$15:$M$266),VLOOKUP($B23,CÁLCULO!$M$15:$N$266,2,FALSE),0))</f>
        <v>(COBERTURAS / ESTRUTURA METALICA)</v>
      </c>
      <c r="D23" s="743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7">
        <f t="shared" ca="1" si="1"/>
        <v>10</v>
      </c>
      <c r="C24" s="743" t="str">
        <f ca="1">IF(AUTOEVENTO="Manual",IF($B24&lt;&gt;1,OFFSET(EVENTOS!$D$14,$B24,0),0),IF(B24&lt;=MAX(CÁLCULO!$M$15:$M$266),VLOOKUP($B24,CÁLCULO!$M$15:$N$266,2,FALSE),0))</f>
        <v>(REVESTIMENTOS)</v>
      </c>
      <c r="D24" s="743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7">
        <f t="shared" ca="1" si="1"/>
        <v>11</v>
      </c>
      <c r="C25" s="743" t="str">
        <f ca="1">IF(AUTOEVENTO="Manual",IF($B25&lt;&gt;1,OFFSET(EVENTOS!$D$14,$B25,0),0),IF(B25&lt;=MAX(CÁLCULO!$M$15:$M$266),VLOOKUP($B25,CÁLCULO!$M$15:$N$266,2,FALSE),0))</f>
        <v>(ESQUADRIAS METALICAS / PORTAS METALICAS)</v>
      </c>
      <c r="D25" s="743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7">
        <f t="shared" ca="1" si="1"/>
        <v>12</v>
      </c>
      <c r="C26" s="743" t="str">
        <f ca="1">IF(AUTOEVENTO="Manual",IF($B26&lt;&gt;1,OFFSET(EVENTOS!$D$14,$B26,0),0),IF(B26&lt;=MAX(CÁLCULO!$M$15:$M$266),VLOOKUP($B26,CÁLCULO!$M$15:$N$266,2,FALSE),0))</f>
        <v>(INSTALAÇÕES ELÉTRICAS)</v>
      </c>
      <c r="D26" s="743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>F</v>
      </c>
      <c r="B27" s="327">
        <f t="shared" ca="1" si="1"/>
        <v>13</v>
      </c>
      <c r="C27" s="743" t="str">
        <f ca="1">IF(AUTOEVENTO="Manual",IF($B27&lt;&gt;1,OFFSET(EVENTOS!$D$14,$B27,0),0),IF(B27&lt;=MAX(CÁLCULO!$M$15:$M$266),VLOOKUP($B27,CÁLCULO!$M$15:$N$266,2,FALSE),0))</f>
        <v>(COBERTURA ALUZINCO)</v>
      </c>
      <c r="D27" s="743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>F</v>
      </c>
      <c r="B28" s="327">
        <f t="shared" ca="1" si="1"/>
        <v>14</v>
      </c>
      <c r="C28" s="743" t="str">
        <f ca="1">IF(AUTOEVENTO="Manual",IF($B28&lt;&gt;1,OFFSET(EVENTOS!$D$14,$B28,0),0),IF(B28&lt;=MAX(CÁLCULO!$M$15:$M$266),VLOOKUP($B28,CÁLCULO!$M$15:$N$266,2,FALSE),0))</f>
        <v>(FUNDAÇÕES RASAS, VIGA BALDRAME, PILARES, VIGAS)</v>
      </c>
      <c r="D28" s="743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>F</v>
      </c>
      <c r="B29" s="327">
        <f t="shared" ca="1" si="1"/>
        <v>15</v>
      </c>
      <c r="C29" s="743" t="str">
        <f ca="1">IF(AUTOEVENTO="Manual",IF($B29&lt;&gt;1,OFFSET(EVENTOS!$D$14,$B29,0),0),IF(B29&lt;=MAX(CÁLCULO!$M$15:$M$266),VLOOKUP($B29,CÁLCULO!$M$15:$N$266,2,FALSE),0))</f>
        <v>(COBERTURAS / FORROS)</v>
      </c>
      <c r="D29" s="743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>F</v>
      </c>
      <c r="B30" s="327">
        <f t="shared" ca="1" si="1"/>
        <v>16</v>
      </c>
      <c r="C30" s="743" t="str">
        <f ca="1">IF(AUTOEVENTO="Manual",IF($B30&lt;&gt;1,OFFSET(EVENTOS!$D$14,$B30,0),0),IF(B30&lt;=MAX(CÁLCULO!$M$15:$M$266),VLOOKUP($B30,CÁLCULO!$M$15:$N$266,2,FALSE),0))</f>
        <v>(REVESTIMENTOS)</v>
      </c>
      <c r="D30" s="743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>F</v>
      </c>
      <c r="B31" s="327">
        <f t="shared" ca="1" si="1"/>
        <v>17</v>
      </c>
      <c r="C31" s="743" t="str">
        <f ca="1">IF(AUTOEVENTO="Manual",IF($B31&lt;&gt;1,OFFSET(EVENTOS!$D$14,$B31,0),0),IF(B31&lt;=MAX(CÁLCULO!$M$15:$M$266),VLOOKUP($B31,CÁLCULO!$M$15:$N$266,2,FALSE),0))</f>
        <v>(ESQUADRIAS METALICAS , PORTAS , TELAS MILIMETRICAS)</v>
      </c>
      <c r="D31" s="743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>F</v>
      </c>
      <c r="B32" s="327">
        <f t="shared" ca="1" si="1"/>
        <v>18</v>
      </c>
      <c r="C32" s="743" t="str">
        <f ca="1">IF(AUTOEVENTO="Manual",IF($B32&lt;&gt;1,OFFSET(EVENTOS!$D$14,$B32,0),0),IF(B32&lt;=MAX(CÁLCULO!$M$15:$M$266),VLOOKUP($B32,CÁLCULO!$M$15:$N$266,2,FALSE),0))</f>
        <v>(INSTALAÇOES ELETRICAS)</v>
      </c>
      <c r="D32" s="743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>F</v>
      </c>
      <c r="B33" s="327">
        <f t="shared" ca="1" si="1"/>
        <v>19</v>
      </c>
      <c r="C33" s="743" t="str">
        <f ca="1">IF(AUTOEVENTO="Manual",IF($B33&lt;&gt;1,OFFSET(EVENTOS!$D$14,$B33,0),0),IF(B33&lt;=MAX(CÁLCULO!$M$15:$M$266),VLOOKUP($B33,CÁLCULO!$M$15:$N$266,2,FALSE),0))</f>
        <v>(INSTALAÇÕES HIDRAULICAS)</v>
      </c>
      <c r="D33" s="743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>F</v>
      </c>
      <c r="B34" s="327">
        <f t="shared" ca="1" si="1"/>
        <v>20</v>
      </c>
      <c r="C34" s="743" t="str">
        <f ca="1">IF(AUTOEVENTO="Manual",IF($B34&lt;&gt;1,OFFSET(EVENTOS!$D$14,$B34,0),0),IF(B34&lt;=MAX(CÁLCULO!$M$15:$M$266),VLOOKUP($B34,CÁLCULO!$M$15:$N$266,2,FALSE),0))</f>
        <v>(SAGUÃO)</v>
      </c>
      <c r="D34" s="743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>F</v>
      </c>
      <c r="B35" s="327">
        <f t="shared" ca="1" si="1"/>
        <v>21</v>
      </c>
      <c r="C35" s="743" t="str">
        <f ca="1">IF(AUTOEVENTO="Manual",IF($B35&lt;&gt;1,OFFSET(EVENTOS!$D$14,$B35,0),0),IF(B35&lt;=MAX(CÁLCULO!$M$15:$M$266),VLOOKUP($B35,CÁLCULO!$M$15:$N$266,2,FALSE),0))</f>
        <v>(EXAUSTORES / TELAS MILIMETRICAS)</v>
      </c>
      <c r="D35" s="743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>F</v>
      </c>
      <c r="B36" s="327">
        <f t="shared" ca="1" si="1"/>
        <v>22</v>
      </c>
      <c r="C36" s="743" t="str">
        <f ca="1">IF(AUTOEVENTO="Manual",IF($B36&lt;&gt;1,OFFSET(EVENTOS!$D$14,$B36,0),0),IF(B36&lt;=MAX(CÁLCULO!$M$15:$M$266),VLOOKUP($B36,CÁLCULO!$M$15:$N$266,2,FALSE),0))</f>
        <v>(INSTALAÇÕES DE PREVENÇÃO CONTRA INCÊNDIO )</v>
      </c>
      <c r="D36" s="743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>F</v>
      </c>
      <c r="B37" s="327">
        <f t="shared" ca="1" si="1"/>
        <v>23</v>
      </c>
      <c r="C37" s="743" t="str">
        <f ca="1">IF(AUTOEVENTO="Manual",IF($B37&lt;&gt;1,OFFSET(EVENTOS!$D$14,$B37,0),0),IF(B37&lt;=MAX(CÁLCULO!$M$15:$M$266),VLOOKUP($B37,CÁLCULO!$M$15:$N$266,2,FALSE),0))</f>
        <v>(REVESTIMENTOS/ INSTALAÇÕES HIDRAULICAS)</v>
      </c>
      <c r="D37" s="743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>F</v>
      </c>
      <c r="B38" s="327">
        <f t="shared" ca="1" si="1"/>
        <v>24</v>
      </c>
      <c r="C38" s="743" t="str">
        <f ca="1">IF(AUTOEVENTO="Manual",IF($B38&lt;&gt;1,OFFSET(EVENTOS!$D$14,$B38,0),0),IF(B38&lt;=MAX(CÁLCULO!$M$15:$M$266),VLOOKUP($B38,CÁLCULO!$M$15:$N$266,2,FALSE),0))</f>
        <v>(INSTALAÇÕES ELÉTRICAS)</v>
      </c>
      <c r="D38" s="743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3">
        <f ca="1">IF(AUTOEVENTO="Manual",IF($B39&lt;&gt;1,OFFSET(EVENTOS!$D$14,$B39,0),0),IF(B39&lt;=MAX(CÁLCULO!$M$15:$M$266),VLOOKUP($B39,CÁLCULO!$M$15:$N$266,2,FALSE),0))</f>
        <v>0</v>
      </c>
      <c r="D39" s="743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3">
        <f ca="1">IF(AUTOEVENTO="Manual",IF($B40&lt;&gt;1,OFFSET(EVENTOS!$D$14,$B40,0),0),IF(B40&lt;=MAX(CÁLCULO!$M$15:$M$266),VLOOKUP($B40,CÁLCULO!$M$15:$N$266,2,FALSE),0))</f>
        <v>0</v>
      </c>
      <c r="D40" s="743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3">
        <f ca="1">IF(AUTOEVENTO="Manual",IF($B41&lt;&gt;1,OFFSET(EVENTOS!$D$14,$B41,0),0),IF(B41&lt;=MAX(CÁLCULO!$M$15:$M$266),VLOOKUP($B41,CÁLCULO!$M$15:$N$266,2,FALSE),0))</f>
        <v>0</v>
      </c>
      <c r="D41" s="743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3">
        <f ca="1">IF(AUTOEVENTO="Manual",IF($B42&lt;&gt;1,OFFSET(EVENTOS!$D$14,$B42,0),0),IF(B42&lt;=MAX(CÁLCULO!$M$15:$M$266),VLOOKUP($B42,CÁLCULO!$M$15:$N$266,2,FALSE),0))</f>
        <v>0</v>
      </c>
      <c r="D42" s="743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3">
        <f ca="1">IF(AUTOEVENTO="Manual",IF($B43&lt;&gt;1,OFFSET(EVENTOS!$D$14,$B43,0),0),IF(B43&lt;=MAX(CÁLCULO!$M$15:$M$266),VLOOKUP($B43,CÁLCULO!$M$15:$N$266,2,FALSE),0))</f>
        <v>0</v>
      </c>
      <c r="D43" s="743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3">
        <f ca="1">IF(AUTOEVENTO="Manual",IF($B44&lt;&gt;1,OFFSET(EVENTOS!$D$14,$B44,0),0),IF(B44&lt;=MAX(CÁLCULO!$M$15:$M$266),VLOOKUP($B44,CÁLCULO!$M$15:$N$266,2,FALSE),0))</f>
        <v>0</v>
      </c>
      <c r="D44" s="743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3">
        <f ca="1">IF(AUTOEVENTO="Manual",IF($B45&lt;&gt;1,OFFSET(EVENTOS!$D$14,$B45,0),0),IF(B45&lt;=MAX(CÁLCULO!$M$15:$M$266),VLOOKUP($B45,CÁLCULO!$M$15:$N$266,2,FALSE),0))</f>
        <v>0</v>
      </c>
      <c r="D45" s="743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3">
        <f ca="1">IF(AUTOEVENTO="Manual",IF($B46&lt;&gt;1,OFFSET(EVENTOS!$D$14,$B46,0),0),IF(B46&lt;=MAX(CÁLCULO!$M$15:$M$266),VLOOKUP($B46,CÁLCULO!$M$15:$N$266,2,FALSE),0))</f>
        <v>0</v>
      </c>
      <c r="D46" s="743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3">
        <f ca="1">IF(AUTOEVENTO="Manual",IF($B47&lt;&gt;1,OFFSET(EVENTOS!$D$14,$B47,0),0),IF(B47&lt;=MAX(CÁLCULO!$M$15:$M$266),VLOOKUP($B47,CÁLCULO!$M$15:$N$266,2,FALSE),0))</f>
        <v>0</v>
      </c>
      <c r="D47" s="743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3">
        <f ca="1">IF(AUTOEVENTO="Manual",IF($B48&lt;&gt;1,OFFSET(EVENTOS!$D$14,$B48,0),0),IF(B48&lt;=MAX(CÁLCULO!$M$15:$M$266),VLOOKUP($B48,CÁLCULO!$M$15:$N$266,2,FALSE),0))</f>
        <v>0</v>
      </c>
      <c r="D48" s="743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3">
        <f ca="1">IF(AUTOEVENTO="Manual",IF($B49&lt;&gt;1,OFFSET(EVENTOS!$D$14,$B49,0),0),IF(B49&lt;=MAX(CÁLCULO!$M$15:$M$266),VLOOKUP($B49,CÁLCULO!$M$15:$N$266,2,FALSE),0))</f>
        <v>0</v>
      </c>
      <c r="D49" s="743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3">
        <f ca="1">IF(AUTOEVENTO="Manual",IF($B50&lt;&gt;1,OFFSET(EVENTOS!$D$14,$B50,0),0),IF(B50&lt;=MAX(CÁLCULO!$M$15:$M$266),VLOOKUP($B50,CÁLCULO!$M$15:$N$266,2,FALSE),0))</f>
        <v>0</v>
      </c>
      <c r="D50" s="743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3">
        <f ca="1">IF(AUTOEVENTO="Manual",IF($B51&lt;&gt;1,OFFSET(EVENTOS!$D$14,$B51,0),0),IF(B51&lt;=MAX(CÁLCULO!$M$15:$M$266),VLOOKUP($B51,CÁLCULO!$M$15:$N$266,2,FALSE),0))</f>
        <v>0</v>
      </c>
      <c r="D51" s="743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3">
        <f ca="1">IF(AUTOEVENTO="Manual",IF($B52&lt;&gt;1,OFFSET(EVENTOS!$D$14,$B52,0),0),IF(B52&lt;=MAX(CÁLCULO!$M$15:$M$266),VLOOKUP($B52,CÁLCULO!$M$15:$N$266,2,FALSE),0))</f>
        <v>0</v>
      </c>
      <c r="D52" s="743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3">
        <f ca="1">IF(AUTOEVENTO="Manual",IF($B53&lt;&gt;1,OFFSET(EVENTOS!$D$14,$B53,0),0),IF(B53&lt;=MAX(CÁLCULO!$M$15:$M$266),VLOOKUP($B53,CÁLCULO!$M$15:$N$266,2,FALSE),0))</f>
        <v>0</v>
      </c>
      <c r="D53" s="743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3">
        <f ca="1">IF(AUTOEVENTO="Manual",IF($B54&lt;&gt;1,OFFSET(EVENTOS!$D$14,$B54,0),0),IF(B54&lt;=MAX(CÁLCULO!$M$15:$M$266),VLOOKUP($B54,CÁLCULO!$M$15:$N$266,2,FALSE),0))</f>
        <v>0</v>
      </c>
      <c r="D54" s="743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3">
        <f ca="1">IF(AUTOEVENTO="Manual",IF($B55&lt;&gt;1,OFFSET(EVENTOS!$D$14,$B55,0),0),IF(B55&lt;=MAX(CÁLCULO!$M$15:$M$266),VLOOKUP($B55,CÁLCULO!$M$15:$N$266,2,FALSE),0))</f>
        <v>0</v>
      </c>
      <c r="D55" s="743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3">
        <f ca="1">IF(AUTOEVENTO="Manual",IF($B56&lt;&gt;1,OFFSET(EVENTOS!$D$14,$B56,0),0),IF(B56&lt;=MAX(CÁLCULO!$M$15:$M$266),VLOOKUP($B56,CÁLCULO!$M$15:$N$266,2,FALSE),0))</f>
        <v>0</v>
      </c>
      <c r="D56" s="743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3">
        <f ca="1">IF(AUTOEVENTO="Manual",IF($B57&lt;&gt;1,OFFSET(EVENTOS!$D$14,$B57,0),0),IF(B57&lt;=MAX(CÁLCULO!$M$15:$M$266),VLOOKUP($B57,CÁLCULO!$M$15:$N$266,2,FALSE),0))</f>
        <v>0</v>
      </c>
      <c r="D57" s="743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3">
        <f ca="1">IF(AUTOEVENTO="Manual",IF($B58&lt;&gt;1,OFFSET(EVENTOS!$D$14,$B58,0),0),IF(B58&lt;=MAX(CÁLCULO!$M$15:$M$266),VLOOKUP($B58,CÁLCULO!$M$15:$N$266,2,FALSE),0))</f>
        <v>0</v>
      </c>
      <c r="D58" s="743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3">
        <f ca="1">IF(AUTOEVENTO="Manual",IF($B59&lt;&gt;1,OFFSET(EVENTOS!$D$14,$B59,0),0),IF(B59&lt;=MAX(CÁLCULO!$M$15:$M$266),VLOOKUP($B59,CÁLCULO!$M$15:$N$266,2,FALSE),0))</f>
        <v>0</v>
      </c>
      <c r="D59" s="743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3">
        <f ca="1">IF(AUTOEVENTO="Manual",IF($B60&lt;&gt;1,OFFSET(EVENTOS!$D$14,$B60,0),0),IF(B60&lt;=MAX(CÁLCULO!$M$15:$M$266),VLOOKUP($B60,CÁLCULO!$M$15:$N$266,2,FALSE),0))</f>
        <v>0</v>
      </c>
      <c r="D60" s="743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3">
        <f ca="1">IF(AUTOEVENTO="Manual",IF($B61&lt;&gt;1,OFFSET(EVENTOS!$D$14,$B61,0),0),IF(B61&lt;=MAX(CÁLCULO!$M$15:$M$266),VLOOKUP($B61,CÁLCULO!$M$15:$N$266,2,FALSE),0))</f>
        <v>0</v>
      </c>
      <c r="D61" s="743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3">
        <f ca="1">IF(AUTOEVENTO="Manual",IF($B62&lt;&gt;1,OFFSET(EVENTOS!$D$14,$B62,0),0),IF(B62&lt;=MAX(CÁLCULO!$M$15:$M$266),VLOOKUP($B62,CÁLCULO!$M$15:$N$266,2,FALSE),0))</f>
        <v>0</v>
      </c>
      <c r="D62" s="743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3">
        <f ca="1">IF(AUTOEVENTO="Manual",IF($B63&lt;&gt;1,OFFSET(EVENTOS!$D$14,$B63,0),0),IF(B63&lt;=MAX(CÁLCULO!$M$15:$M$266),VLOOKUP($B63,CÁLCULO!$M$15:$N$266,2,FALSE),0))</f>
        <v>0</v>
      </c>
      <c r="D63" s="743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3">
        <f ca="1">IF(AUTOEVENTO="Manual",IF($B64&lt;&gt;1,OFFSET(EVENTOS!$D$14,$B64,0),0),IF(B64&lt;=MAX(CÁLCULO!$M$15:$M$266),VLOOKUP($B64,CÁLCULO!$M$15:$N$266,2,FALSE),0))</f>
        <v>0</v>
      </c>
      <c r="D64" s="743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4" t="s">
        <v>297</v>
      </c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</row>
    <row r="68" spans="1:32" x14ac:dyDescent="0.2">
      <c r="A68" s="9" t="s">
        <v>245</v>
      </c>
      <c r="H68" s="582"/>
      <c r="I68" s="731"/>
      <c r="J68" s="732"/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42"/>
    </row>
    <row r="69" spans="1:32" x14ac:dyDescent="0.2">
      <c r="A69" s="9" t="s">
        <v>245</v>
      </c>
      <c r="D69" s="351" t="s">
        <v>298</v>
      </c>
      <c r="I69" s="729">
        <f>IF(PLE.Medicao&lt;=12,1,TRUNC((PLE.Medicao - 2)/11,0) * 11 + 1)</f>
        <v>1</v>
      </c>
      <c r="J69" s="729"/>
      <c r="K69" s="729">
        <f>I69+1</f>
        <v>2</v>
      </c>
      <c r="L69" s="729"/>
      <c r="M69" s="729">
        <f>K69+1</f>
        <v>3</v>
      </c>
      <c r="N69" s="729"/>
      <c r="O69" s="729">
        <f>M69+1</f>
        <v>4</v>
      </c>
      <c r="P69" s="729"/>
      <c r="Q69" s="729">
        <f>O69+1</f>
        <v>5</v>
      </c>
      <c r="R69" s="729"/>
      <c r="S69" s="729">
        <f>Q69+1</f>
        <v>6</v>
      </c>
      <c r="T69" s="729"/>
      <c r="U69" s="729">
        <f>S69+1</f>
        <v>7</v>
      </c>
      <c r="V69" s="729"/>
      <c r="W69" s="729">
        <f>U69+1</f>
        <v>8</v>
      </c>
      <c r="X69" s="729"/>
      <c r="Y69" s="729">
        <f>W69+1</f>
        <v>9</v>
      </c>
      <c r="Z69" s="729"/>
      <c r="AA69" s="729">
        <f>Y69+1</f>
        <v>10</v>
      </c>
      <c r="AB69" s="729"/>
      <c r="AC69" s="729">
        <f>AA69+1</f>
        <v>11</v>
      </c>
      <c r="AD69" s="729"/>
      <c r="AE69" s="729">
        <f>AC69+1</f>
        <v>12</v>
      </c>
      <c r="AF69" s="729"/>
    </row>
    <row r="70" spans="1:32" x14ac:dyDescent="0.2">
      <c r="A70" s="9" t="s">
        <v>245</v>
      </c>
      <c r="D70" s="739" t="s">
        <v>282</v>
      </c>
      <c r="H70" s="352" t="s">
        <v>299</v>
      </c>
      <c r="I70" s="730">
        <f ca="1">ROUND(I71,2)/ORÇAMENTO!$X$15</f>
        <v>0</v>
      </c>
      <c r="J70" s="730"/>
      <c r="K70" s="735">
        <f ca="1">ROUND(K71,2)/ORÇAMENTO!$X$15</f>
        <v>0</v>
      </c>
      <c r="L70" s="735"/>
      <c r="M70" s="736">
        <f ca="1">ROUND(M71,2)/ORÇAMENTO!$X$15</f>
        <v>0</v>
      </c>
      <c r="N70" s="736"/>
      <c r="O70" s="735">
        <f ca="1">ROUND(O71,2)/ORÇAMENTO!$X$15</f>
        <v>0</v>
      </c>
      <c r="P70" s="735"/>
      <c r="Q70" s="736">
        <f ca="1">ROUND(Q71,2)/ORÇAMENTO!$X$15</f>
        <v>0</v>
      </c>
      <c r="R70" s="736"/>
      <c r="S70" s="735">
        <f ca="1">ROUND(S71,2)/ORÇAMENTO!$X$15</f>
        <v>0</v>
      </c>
      <c r="T70" s="735"/>
      <c r="U70" s="736">
        <f ca="1">ROUND(U71,2)/ORÇAMENTO!$X$15</f>
        <v>0</v>
      </c>
      <c r="V70" s="736"/>
      <c r="W70" s="735">
        <f ca="1">ROUND(W71,2)/ORÇAMENTO!$X$15</f>
        <v>0</v>
      </c>
      <c r="X70" s="735"/>
      <c r="Y70" s="736">
        <f ca="1">ROUND(Y71,2)/ORÇAMENTO!$X$15</f>
        <v>0</v>
      </c>
      <c r="Z70" s="736"/>
      <c r="AA70" s="735">
        <f ca="1">ROUND(AA71,2)/ORÇAMENTO!$X$15</f>
        <v>0</v>
      </c>
      <c r="AB70" s="735"/>
      <c r="AC70" s="736">
        <f ca="1">ROUND(AC71,2)/ORÇAMENTO!$X$15</f>
        <v>0</v>
      </c>
      <c r="AD70" s="736"/>
      <c r="AE70" s="735">
        <f ca="1">ROUND(AE71,2)/ORÇAMENTO!$X$15</f>
        <v>0</v>
      </c>
      <c r="AF70" s="735"/>
    </row>
    <row r="71" spans="1:32" x14ac:dyDescent="0.2">
      <c r="A71" s="9" t="s">
        <v>245</v>
      </c>
      <c r="D71" s="739"/>
      <c r="H71" s="353" t="s">
        <v>300</v>
      </c>
      <c r="I71" s="734">
        <f ca="1">IF(I69=1,I73,ROUND(I73,2)-ROUND(SUMIF(CÁLCULO!$AX$15:$BH$266,"&lt;="&amp;PLE!I69-1,CÁLCULO!$AB$15:$AL$266)*(1+CÁLCULO.TotalAdmLocal/(ORÇAMENTO!$X$15-CÁLCULO.TotalAdmLocal)),2))</f>
        <v>0</v>
      </c>
      <c r="J71" s="734"/>
      <c r="K71" s="734">
        <f ca="1">ROUND(K73,2)-ROUND(I73,2)</f>
        <v>0</v>
      </c>
      <c r="L71" s="734"/>
      <c r="M71" s="733">
        <f ca="1">ROUND(M73,2)-ROUND(K73,2)</f>
        <v>0</v>
      </c>
      <c r="N71" s="733"/>
      <c r="O71" s="734">
        <f ca="1">ROUND(O73,2)-ROUND(M73,2)</f>
        <v>0</v>
      </c>
      <c r="P71" s="734"/>
      <c r="Q71" s="733">
        <f ca="1">ROUND(Q73,2)-ROUND(O73,2)</f>
        <v>0</v>
      </c>
      <c r="R71" s="733"/>
      <c r="S71" s="734">
        <f ca="1">ROUND(S73,2)-ROUND(Q73,2)</f>
        <v>0</v>
      </c>
      <c r="T71" s="734"/>
      <c r="U71" s="733">
        <f ca="1">ROUND(U73,2)-ROUND(S73,2)</f>
        <v>0</v>
      </c>
      <c r="V71" s="733"/>
      <c r="W71" s="734">
        <f ca="1">ROUND(W73,2)-ROUND(U73,2)</f>
        <v>0</v>
      </c>
      <c r="X71" s="734"/>
      <c r="Y71" s="733">
        <f ca="1">ROUND(Y73,2)-ROUND(W73,2)</f>
        <v>0</v>
      </c>
      <c r="Z71" s="733"/>
      <c r="AA71" s="734">
        <f ca="1">ROUND(AA73,2)-ROUND(Y73,2)</f>
        <v>0</v>
      </c>
      <c r="AB71" s="734"/>
      <c r="AC71" s="733">
        <f ca="1">ROUND(AC73,2)-ROUND(AA73,2)</f>
        <v>0</v>
      </c>
      <c r="AD71" s="733"/>
      <c r="AE71" s="734">
        <f ca="1">ROUND(AE73,2)-ROUND(AC73,2)</f>
        <v>0</v>
      </c>
      <c r="AF71" s="734"/>
    </row>
    <row r="72" spans="1:32" x14ac:dyDescent="0.2">
      <c r="A72" s="9" t="s">
        <v>245</v>
      </c>
      <c r="D72" s="739" t="s">
        <v>286</v>
      </c>
      <c r="H72" s="352" t="s">
        <v>299</v>
      </c>
      <c r="I72" s="740">
        <f ca="1">ROUND(I73,2)/ORÇAMENTO!$X$15</f>
        <v>0</v>
      </c>
      <c r="J72" s="740"/>
      <c r="K72" s="737">
        <f ca="1">ROUND(K73,2)/ORÇAMENTO!$X$15</f>
        <v>0</v>
      </c>
      <c r="L72" s="737"/>
      <c r="M72" s="738">
        <f ca="1">ROUND(M73,2)/ORÇAMENTO!$X$15</f>
        <v>0</v>
      </c>
      <c r="N72" s="738"/>
      <c r="O72" s="737">
        <f ca="1">ROUND(O73,2)/ORÇAMENTO!$X$15</f>
        <v>0</v>
      </c>
      <c r="P72" s="737"/>
      <c r="Q72" s="738">
        <f ca="1">ROUND(Q73,2)/ORÇAMENTO!$X$15</f>
        <v>0</v>
      </c>
      <c r="R72" s="738"/>
      <c r="S72" s="737">
        <f ca="1">ROUND(S73,2)/ORÇAMENTO!$X$15</f>
        <v>0</v>
      </c>
      <c r="T72" s="737"/>
      <c r="U72" s="738">
        <f ca="1">ROUND(U73,2)/ORÇAMENTO!$X$15</f>
        <v>0</v>
      </c>
      <c r="V72" s="738"/>
      <c r="W72" s="737">
        <f ca="1">ROUND(W73,2)/ORÇAMENTO!$X$15</f>
        <v>0</v>
      </c>
      <c r="X72" s="737"/>
      <c r="Y72" s="738">
        <f ca="1">ROUND(Y73,2)/ORÇAMENTO!$X$15</f>
        <v>0</v>
      </c>
      <c r="Z72" s="738"/>
      <c r="AA72" s="737">
        <f ca="1">ROUND(AA73,2)/ORÇAMENTO!$X$15</f>
        <v>0</v>
      </c>
      <c r="AB72" s="737"/>
      <c r="AC72" s="738">
        <f ca="1">ROUND(AC73,2)/ORÇAMENTO!$X$15</f>
        <v>0</v>
      </c>
      <c r="AD72" s="738"/>
      <c r="AE72" s="737">
        <f ca="1">ROUND(AE73,2)/ORÇAMENTO!$X$15</f>
        <v>0</v>
      </c>
      <c r="AF72" s="737"/>
    </row>
    <row r="73" spans="1:32" x14ac:dyDescent="0.2">
      <c r="A73" s="9" t="s">
        <v>245</v>
      </c>
      <c r="D73" s="739"/>
      <c r="H73" s="353" t="s">
        <v>300</v>
      </c>
      <c r="I73" s="741">
        <f ca="1">SUMIF(CÁLCULO!$AX$15:$BH$266,"&lt;="&amp;PLE!I69,CÁLCULO!$AB$15:$AL$266)*(1+CÁLCULO.TotalAdmLocal/(ORÇAMENTO!$X$15-CÁLCULO.TotalAdmLocal))</f>
        <v>0</v>
      </c>
      <c r="J73" s="741"/>
      <c r="K73" s="734">
        <f ca="1">SUMIF(CÁLCULO!$AX$15:$BH$266,"&lt;="&amp;PLE!K69,CÁLCULO!$AB$15:$AL$266)*(1+CÁLCULO.TotalAdmLocal/(ORÇAMENTO!$X$15-CÁLCULO.TotalAdmLocal))</f>
        <v>0</v>
      </c>
      <c r="L73" s="734"/>
      <c r="M73" s="733">
        <f ca="1">SUMIF(CÁLCULO!$AX$15:$BH$266,"&lt;="&amp;PLE!M69,CÁLCULO!$AB$15:$AL$266)*(1+CÁLCULO.TotalAdmLocal/(ORÇAMENTO!$X$15-CÁLCULO.TotalAdmLocal))</f>
        <v>0</v>
      </c>
      <c r="N73" s="733"/>
      <c r="O73" s="734">
        <f ca="1">SUMIF(CÁLCULO!$AX$15:$BH$266,"&lt;="&amp;PLE!O69,CÁLCULO!$AB$15:$AL$266)*(1+CÁLCULO.TotalAdmLocal/(ORÇAMENTO!$X$15-CÁLCULO.TotalAdmLocal))</f>
        <v>0</v>
      </c>
      <c r="P73" s="734"/>
      <c r="Q73" s="733">
        <f ca="1">SUMIF(CÁLCULO!$AX$15:$BH$266,"&lt;="&amp;PLE!Q69,CÁLCULO!$AB$15:$AL$266)*(1+CÁLCULO.TotalAdmLocal/(ORÇAMENTO!$X$15-CÁLCULO.TotalAdmLocal))</f>
        <v>0</v>
      </c>
      <c r="R73" s="733"/>
      <c r="S73" s="734">
        <f ca="1">SUMIF(CÁLCULO!$AX$15:$BH$266,"&lt;="&amp;PLE!S69,CÁLCULO!$AB$15:$AL$266)*(1+CÁLCULO.TotalAdmLocal/(ORÇAMENTO!$X$15-CÁLCULO.TotalAdmLocal))</f>
        <v>0</v>
      </c>
      <c r="T73" s="734"/>
      <c r="U73" s="733">
        <f ca="1">SUMIF(CÁLCULO!$AX$15:$BH$266,"&lt;="&amp;PLE!U69,CÁLCULO!$AB$15:$AL$266)*(1+CÁLCULO.TotalAdmLocal/(ORÇAMENTO!$X$15-CÁLCULO.TotalAdmLocal))</f>
        <v>0</v>
      </c>
      <c r="V73" s="733"/>
      <c r="W73" s="734">
        <f ca="1">SUMIF(CÁLCULO!$AX$15:$BH$266,"&lt;="&amp;PLE!W69,CÁLCULO!$AB$15:$AL$266)*(1+CÁLCULO.TotalAdmLocal/(ORÇAMENTO!$X$15-CÁLCULO.TotalAdmLocal))</f>
        <v>0</v>
      </c>
      <c r="X73" s="734"/>
      <c r="Y73" s="733">
        <f ca="1">SUMIF(CÁLCULO!$AX$15:$BH$266,"&lt;="&amp;PLE!Y69,CÁLCULO!$AB$15:$AL$266)*(1+CÁLCULO.TotalAdmLocal/(ORÇAMENTO!$X$15-CÁLCULO.TotalAdmLocal))</f>
        <v>0</v>
      </c>
      <c r="Z73" s="733"/>
      <c r="AA73" s="734">
        <f ca="1">SUMIF(CÁLCULO!$AX$15:$BH$266,"&lt;="&amp;PLE!AA69,CÁLCULO!$AB$15:$AL$266)*(1+CÁLCULO.TotalAdmLocal/(ORÇAMENTO!$X$15-CÁLCULO.TotalAdmLocal))</f>
        <v>0</v>
      </c>
      <c r="AB73" s="734"/>
      <c r="AC73" s="733">
        <f ca="1">SUMIF(CÁLCULO!$AX$15:$BH$266,"&lt;="&amp;PLE!AC69,CÁLCULO!$AB$15:$AL$266)*(1+CÁLCULO.TotalAdmLocal/(ORÇAMENTO!$X$15-CÁLCULO.TotalAdmLocal))</f>
        <v>0</v>
      </c>
      <c r="AD73" s="733"/>
      <c r="AE73" s="734">
        <f ca="1">SUMIF(CÁLCULO!$AX$15:$BH$266,"&lt;="&amp;PLE!AE69,CÁLCULO!$AB$15:$AL$266)*(1+CÁLCULO.TotalAdmLocal/(ORÇAMENTO!$X$15-CÁLCULO.TotalAdmLocal))</f>
        <v>0</v>
      </c>
      <c r="AF73" s="73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6" t="str">
        <f>Import.Município</f>
        <v xml:space="preserve">CÉU AZUL </v>
      </c>
      <c r="C75" s="706"/>
      <c r="D75" s="706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701">
        <f ca="1">DADOS!$F$47</f>
        <v>43979</v>
      </c>
      <c r="C78" s="701"/>
      <c r="D78" s="701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4" t="s">
        <v>440</v>
      </c>
      <c r="E3" s="684"/>
      <c r="F3" s="112" t="s">
        <v>441</v>
      </c>
      <c r="G3" s="684" t="s">
        <v>146</v>
      </c>
      <c r="H3" s="684"/>
      <c r="I3" s="684"/>
      <c r="J3" s="757" t="s">
        <v>305</v>
      </c>
      <c r="K3" s="757"/>
      <c r="L3" s="757"/>
      <c r="M3" s="758" t="s">
        <v>306</v>
      </c>
      <c r="N3" s="758"/>
      <c r="O3" s="758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7">
        <f>Import.CR</f>
        <v>0</v>
      </c>
      <c r="E4" s="687"/>
      <c r="F4" s="73">
        <f>Import.SICONV</f>
        <v>0</v>
      </c>
      <c r="G4" s="687" t="str">
        <f>Import.Proponente</f>
        <v xml:space="preserve">MUNICIPIO DE CÉU AZUL </v>
      </c>
      <c r="H4" s="687"/>
      <c r="I4" s="687"/>
      <c r="J4" s="759" t="str">
        <f>Import.Município</f>
        <v xml:space="preserve">CÉU AZUL </v>
      </c>
      <c r="K4" s="759"/>
      <c r="L4" s="759"/>
      <c r="M4" s="758"/>
      <c r="N4" s="758"/>
      <c r="O4" s="758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4" t="s">
        <v>201</v>
      </c>
      <c r="E6" s="684"/>
      <c r="F6" s="684"/>
      <c r="G6" s="684"/>
      <c r="H6" s="684"/>
      <c r="I6" s="684"/>
      <c r="J6" s="684"/>
      <c r="K6" s="684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7" t="s">
        <v>208</v>
      </c>
      <c r="D7" s="687" t="str">
        <f>Import.Apelido</f>
        <v xml:space="preserve">REFORMA E AMPLIAÇÃO DA ESCOLA OLAVO BILAC </v>
      </c>
      <c r="E7" s="687"/>
      <c r="F7" s="687"/>
      <c r="G7" s="687"/>
      <c r="H7" s="687"/>
      <c r="I7" s="687"/>
      <c r="J7" s="687"/>
      <c r="K7" s="687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7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7"/>
      <c r="E9" s="16"/>
      <c r="G9" s="755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5"/>
      <c r="I9" s="755"/>
      <c r="J9" s="755"/>
      <c r="K9" s="756" t="s">
        <v>312</v>
      </c>
      <c r="L9" s="363" t="str">
        <f>$L$13</f>
        <v>Repasse (R$)</v>
      </c>
      <c r="M9" s="363" t="s">
        <v>237</v>
      </c>
      <c r="AD9" s="753"/>
      <c r="AE9" s="753"/>
    </row>
    <row r="10" spans="1:31" ht="12.75" customHeight="1" x14ac:dyDescent="0.2">
      <c r="A10" s="752" t="s">
        <v>313</v>
      </c>
      <c r="C10" s="677"/>
      <c r="G10" s="755"/>
      <c r="H10" s="755"/>
      <c r="I10" s="755"/>
      <c r="J10" s="755"/>
      <c r="K10" s="756"/>
      <c r="L10" s="364">
        <f ca="1">Import.Repasse-L24</f>
        <v>0</v>
      </c>
      <c r="M10" s="365">
        <f ca="1">Import.Contrapartida-M24</f>
        <v>-160564.95000000001</v>
      </c>
      <c r="Z10" s="697" t="s">
        <v>215</v>
      </c>
      <c r="AA10" s="697"/>
      <c r="AB10" s="697"/>
      <c r="AD10" s="753" t="s">
        <v>314</v>
      </c>
      <c r="AE10" s="753"/>
    </row>
    <row r="11" spans="1:31" ht="20.100000000000001" customHeight="1" x14ac:dyDescent="0.2">
      <c r="A11" s="752"/>
      <c r="C11" s="677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(VESTIÁRIO LAVANDERIA / COZINHA)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58864.160000000003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58864.160000000003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58864.160000000003</v>
      </c>
      <c r="X14" s="376">
        <v>0</v>
      </c>
      <c r="Z14" s="377">
        <f t="shared" ref="Z14:Z22" ca="1" si="8">$O14-$AA14-$AB14</f>
        <v>-7.2759576141834259E-12</v>
      </c>
      <c r="AA14">
        <f ca="1">IF($B14="Branco",0,IF($B14="Manual",QCI.CPManual,IF($B14="SemiAuto",ROUND(QCI!$AA$3*QCI.InvManual,2),INDEX(ORÇAMENTO!$AA$15:$AA$266,MATCH($A14,ORÇAMENTO!$E$15:$E$266,0)))))</f>
        <v>58864.160000000011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(SALA DE AULA)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60698.32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60698.32</v>
      </c>
      <c r="P15" s="579"/>
      <c r="R15" s="609"/>
      <c r="T15" s="610"/>
      <c r="U15" s="374"/>
      <c r="V15" s="611" t="s">
        <v>316</v>
      </c>
      <c r="W15" s="375">
        <f t="shared" ca="1" si="7"/>
        <v>60698.32</v>
      </c>
      <c r="X15" s="376">
        <v>0</v>
      </c>
      <c r="Z15" s="377">
        <f t="shared" ca="1" si="8"/>
        <v>-7.2759576141834259E-12</v>
      </c>
      <c r="AA15">
        <f ca="1">IF($B15="Branco",0,IF($B15="Manual",QCI.CPManual,IF($B15="SemiAuto",ROUND(QCI!$AA$3*QCI.InvManual,2),INDEX(ORÇAMENTO!$AA$15:$AA$266,MATCH($A15,ORÇAMENTO!$E$15:$E$266,0)))))</f>
        <v>60698.320000000007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>(COZINHA)</v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>LOTE 1</v>
      </c>
      <c r="L16" s="369">
        <f t="shared" ca="1" si="4"/>
        <v>0</v>
      </c>
      <c r="M16" s="370">
        <f t="shared" ca="1" si="5"/>
        <v>36338.35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36338.35</v>
      </c>
      <c r="P16" s="579"/>
      <c r="R16" s="609"/>
      <c r="T16" s="610"/>
      <c r="U16" s="374"/>
      <c r="V16" s="611" t="s">
        <v>316</v>
      </c>
      <c r="W16" s="375">
        <f t="shared" ca="1" si="7"/>
        <v>36338.35</v>
      </c>
      <c r="X16" s="376">
        <v>0</v>
      </c>
      <c r="Z16" s="377">
        <f t="shared" ca="1" si="8"/>
        <v>1.4551915228366852E-11</v>
      </c>
      <c r="AA16">
        <f ca="1">IF($B16="Branco",0,IF($B16="Manual",QCI.CPManual,IF($B16="SemiAuto",ROUND(QCI!$AA$3*QCI.InvManual,2),INDEX(ORÇAMENTO!$AA$15:$AA$266,MATCH($A16,ORÇAMENTO!$E$15:$E$266,0)))))</f>
        <v>36338.349999999984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>(BANHEIRO ADAPTADO )</v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>LOTE 1</v>
      </c>
      <c r="L17" s="369">
        <f t="shared" ca="1" si="4"/>
        <v>0</v>
      </c>
      <c r="M17" s="370">
        <f t="shared" ca="1" si="5"/>
        <v>4664.12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4664.12</v>
      </c>
      <c r="P17" s="579"/>
      <c r="R17" s="609"/>
      <c r="T17" s="610"/>
      <c r="U17" s="374"/>
      <c r="V17" s="611" t="s">
        <v>316</v>
      </c>
      <c r="W17" s="375">
        <f t="shared" ca="1" si="7"/>
        <v>4664.12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4664.12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4" t="s">
        <v>327</v>
      </c>
      <c r="L24" s="388">
        <f ca="1">SUM(L13:OFFSET(L24,-1,0))</f>
        <v>0</v>
      </c>
      <c r="M24" s="389">
        <f ca="1">SUM(M13:OFFSET(M24,-1,0))</f>
        <v>160564.95000000001</v>
      </c>
      <c r="N24" s="390">
        <f ca="1">SUM(N13:OFFSET(N24,-1,0))</f>
        <v>0</v>
      </c>
      <c r="O24" s="391">
        <f ca="1">SUM(O13:OFFSET(O24,-1,0))</f>
        <v>160564.95000000001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160564.95000000001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4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</row>
    <row r="29" spans="1:31" ht="12.75" customHeight="1" x14ac:dyDescent="0.2"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</row>
    <row r="30" spans="1:31" ht="12.75" customHeight="1" x14ac:dyDescent="0.2"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</row>
    <row r="33" spans="4:12" ht="15" x14ac:dyDescent="0.2">
      <c r="D33" s="706" t="str">
        <f>Import.Município</f>
        <v xml:space="preserve">CÉU AZUL </v>
      </c>
      <c r="E33" s="706"/>
      <c r="F33" s="706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GERMANO BONAMIGO</v>
      </c>
    </row>
    <row r="36" spans="4:12" x14ac:dyDescent="0.2">
      <c r="D36" s="701">
        <f>DADOS!$F$25</f>
        <v>43975</v>
      </c>
      <c r="E36" s="701"/>
      <c r="F36" s="701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5" t="b">
        <v>0</v>
      </c>
      <c r="B3" s="775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4" t="s">
        <v>146</v>
      </c>
      <c r="E4" s="684"/>
      <c r="F4" s="695" t="s">
        <v>440</v>
      </c>
      <c r="G4" s="695"/>
      <c r="H4" s="695"/>
      <c r="I4" s="184" t="s">
        <v>441</v>
      </c>
      <c r="J4" s="684" t="s">
        <v>201</v>
      </c>
      <c r="K4" s="684"/>
      <c r="L4" s="684"/>
      <c r="M4" s="684"/>
      <c r="N4" s="684"/>
      <c r="O4" s="186" t="s">
        <v>331</v>
      </c>
    </row>
    <row r="5" spans="1:41" ht="12.75" customHeight="1" x14ac:dyDescent="0.2">
      <c r="A5" t="s">
        <v>332</v>
      </c>
      <c r="C5" s="105"/>
      <c r="D5" s="687" t="str">
        <f>Import.Proponente</f>
        <v xml:space="preserve">MUNICIPIO DE CÉU AZUL </v>
      </c>
      <c r="E5" s="687"/>
      <c r="F5" s="700">
        <f>Import.CR</f>
        <v>0</v>
      </c>
      <c r="G5" s="700"/>
      <c r="H5" s="700"/>
      <c r="I5" s="416">
        <f>Import.SICONV</f>
        <v>0</v>
      </c>
      <c r="J5" s="687" t="str">
        <f>Import.Apelido</f>
        <v xml:space="preserve">REFORMA E AMPLIAÇÃO DA ESCOLA OLAVO BILAC </v>
      </c>
      <c r="K5" s="687"/>
      <c r="L5" s="687"/>
      <c r="M5" s="687"/>
      <c r="N5" s="687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4" t="s">
        <v>336</v>
      </c>
      <c r="G7" s="684"/>
      <c r="H7" s="684"/>
      <c r="I7" s="684" t="str">
        <f>IF(TIPOORCAMENTO="Licitado","REGIME DE EXECUÇÃO","MUNICÍPIO / UF")</f>
        <v>MUNICÍPIO / UF</v>
      </c>
      <c r="J7" s="684"/>
      <c r="K7" s="684"/>
      <c r="L7" s="684"/>
      <c r="M7" s="684" t="s">
        <v>337</v>
      </c>
      <c r="N7" s="684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7" t="s">
        <v>208</v>
      </c>
      <c r="D8" s="420">
        <f>Import.CTEF</f>
        <v>0</v>
      </c>
      <c r="E8" s="73">
        <f>Import.empresa</f>
        <v>0</v>
      </c>
      <c r="F8" s="687">
        <f>Import.CNPJ</f>
        <v>0</v>
      </c>
      <c r="G8" s="687"/>
      <c r="H8" s="687"/>
      <c r="I8" s="687" t="str">
        <f>IF(TIPOORCAMENTO="Licitado",Import.RegimeExecução,Import.Município)</f>
        <v xml:space="preserve">CÉU AZUL </v>
      </c>
      <c r="J8" s="687"/>
      <c r="K8" s="687"/>
      <c r="L8" s="687"/>
      <c r="M8" s="687" t="str">
        <f ca="1">TEXT(IF(BM.medicao=1,Import.DataInicioObra,OFFSET($AB$12,0,BM.medicao-1-$AB$13)+1),"dd/mm/aaaa")&amp;" a "&amp;TEXT(OFFSET($AB$12,0,BM.medicao-$AB$13),"dd/mm/aaaa")</f>
        <v>00/01/1900 a 00/01/1900</v>
      </c>
      <c r="N8" s="687"/>
      <c r="O8" s="541">
        <v>1</v>
      </c>
    </row>
    <row r="9" spans="1:41" ht="12.75" customHeight="1" x14ac:dyDescent="0.2">
      <c r="A9" s="578" t="b">
        <v>1</v>
      </c>
      <c r="B9" s="55"/>
      <c r="C9" s="677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7"/>
      <c r="D10" s="16"/>
      <c r="E10" s="773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3"/>
      <c r="G10" s="773"/>
      <c r="H10" s="773"/>
      <c r="I10" s="773"/>
      <c r="J10" s="105"/>
      <c r="K10" s="105"/>
      <c r="L10" s="105"/>
      <c r="N10" s="774" t="str">
        <f ca="1">"Realizado Acumulado: "&amp;TEXT(ROUND($O$15/($I$15+10^-12),4),"0,00%")</f>
        <v>Realizado Acumulado: 0,00%</v>
      </c>
      <c r="O10" s="774"/>
    </row>
    <row r="11" spans="1:41" ht="15" customHeight="1" x14ac:dyDescent="0.25">
      <c r="C11" s="677"/>
      <c r="D11" s="105"/>
      <c r="E11" s="773"/>
      <c r="F11" s="773"/>
      <c r="G11" s="773"/>
      <c r="H11" s="773"/>
      <c r="I11" s="773"/>
      <c r="J11" s="105"/>
      <c r="K11" s="105"/>
      <c r="L11" s="105"/>
      <c r="M11" s="105"/>
      <c r="N11" s="774"/>
      <c r="O11" s="774"/>
      <c r="T11" s="772" t="s">
        <v>340</v>
      </c>
      <c r="U11" s="772"/>
      <c r="V11" s="101"/>
      <c r="W11" s="101"/>
      <c r="X11" s="101"/>
      <c r="Y11" s="101"/>
      <c r="Z11" s="60"/>
      <c r="AB11" s="769" t="s">
        <v>341</v>
      </c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</row>
    <row r="12" spans="1:41" ht="15" customHeight="1" x14ac:dyDescent="0.25">
      <c r="C12" s="677"/>
      <c r="D12" s="105"/>
      <c r="E12" s="200" t="s">
        <v>342</v>
      </c>
      <c r="F12" s="105"/>
      <c r="G12" s="105"/>
      <c r="H12" s="105"/>
      <c r="I12" s="105"/>
      <c r="J12" s="770" t="str">
        <f ca="1">"Evolução Física "&amp;CHOOSE(MATCH(RegimeExecucao,{"Unitário","Global"},0),"(Qtde.)","(%)")</f>
        <v>Evolução Física (Qtde.)</v>
      </c>
      <c r="K12" s="770"/>
      <c r="L12" s="770"/>
      <c r="M12" s="770" t="s">
        <v>343</v>
      </c>
      <c r="N12" s="770"/>
      <c r="O12" s="770"/>
      <c r="Q12" s="771" t="str">
        <f ca="1">"Aferido (CAIXA) "&amp;CHOOSE(MATCH(RegimeExecucao,{"Unitário","Global"},0),"(Qtde.)","(%)")</f>
        <v>Aferido (CAIXA) (Qtde.)</v>
      </c>
      <c r="R12" s="771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8" t="str">
        <f>"Objeto do CTEF: "&amp;Import.DescLote</f>
        <v xml:space="preserve">Objeto do CTEF: </v>
      </c>
      <c r="E15" s="768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4" t="str">
        <f ca="1">"Preencher abaixo com a "&amp;CHOOSE(MATCH(RegimeExecucao,{"Unitário","Global"},0),"QUANTIDADE","PORCENTAGEM")&amp;" executada no PERÍODO"</f>
        <v>Preencher abaixo com a QUANTIDADE executada no PERÍODO</v>
      </c>
      <c r="AC15" s="764"/>
      <c r="AD15" s="764"/>
      <c r="AE15" s="764"/>
      <c r="AF15" s="764"/>
      <c r="AG15" s="764"/>
      <c r="AH15" s="764"/>
      <c r="AI15" s="764"/>
      <c r="AJ15" s="764"/>
      <c r="AK15" s="764"/>
      <c r="AL15" s="764"/>
      <c r="AM15" s="764"/>
    </row>
    <row r="16" spans="1:41" x14ac:dyDescent="0.2">
      <c r="A16">
        <f ca="1">ORÇAMENTO!C16</f>
        <v>1</v>
      </c>
      <c r="B16">
        <f ca="1">ORÇAMENTO!D16</f>
        <v>75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(VESTIÁRIO LAVANDERIA / COZINHA)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58864.160000000003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4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(SERVIÇOS INICIAIS)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1517.15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(PARA CONSTRUCAO CIVIL) EM CHAPA GALVANIZADA *N. 22*, ADESIVADA, DE *2,0 X 1,125* M</v>
      </c>
      <c r="F18" s="208" t="str">
        <f t="shared" ca="1" si="3"/>
        <v xml:space="preserve">M2    </v>
      </c>
      <c r="G18" s="152">
        <f ca="1">IF(RegimeExecucao="Global","",ORÇAMENTO!T18)</f>
        <v>2.88</v>
      </c>
      <c r="H18" s="152">
        <f ca="1">IF(RegimeExecucao="Global","",ORÇAMENTO!W18)</f>
        <v>356.58</v>
      </c>
      <c r="I18" s="155">
        <f ca="1">ORÇAMENTO!X18</f>
        <v>1026.95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LOCACAO CONVENCIONAL DE OBRA, UTILIZANDO GABARITO DE TÁBUAS CORRIDAS PONTALETADAS A CADA 2,00M -  2 UTILIZAÇÕES. AF_10/2018</v>
      </c>
      <c r="F19" s="208" t="str">
        <f t="shared" ca="1" si="3"/>
        <v>M</v>
      </c>
      <c r="G19" s="152">
        <f ca="1">IF(RegimeExecucao="Global","",ORÇAMENTO!T19)</f>
        <v>10</v>
      </c>
      <c r="H19" s="152">
        <f ca="1">IF(RegimeExecucao="Global","",ORÇAMENTO!W19)</f>
        <v>49.02</v>
      </c>
      <c r="I19" s="155">
        <f ca="1">ORÇAMENTO!X19</f>
        <v>490.2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>-</v>
      </c>
      <c r="G20" s="152">
        <f ca="1">IF(RegimeExecucao="Global","",ORÇAMENTO!T20)</f>
        <v>0</v>
      </c>
      <c r="H20" s="152">
        <f ca="1">IF(RegimeExecucao="Global","",ORÇAMENTO!W20)</f>
        <v>0</v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>
        <f ca="1">ORÇAMENTO!C21</f>
        <v>2</v>
      </c>
      <c r="B21">
        <f ca="1">ORÇAMENTO!D21</f>
        <v>15</v>
      </c>
      <c r="C21" s="144" t="str">
        <f t="shared" ca="1" si="1"/>
        <v>F</v>
      </c>
      <c r="D21" s="147" t="str">
        <f ca="1">ORÇAMENTO!O21</f>
        <v>1.2.</v>
      </c>
      <c r="E21" s="207" t="str">
        <f t="shared" ca="1" si="2"/>
        <v>(FUNDAÇÕES RASAS, VIGAS, PILARES, VIGAS BALDRAME)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29433.9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>F</v>
      </c>
      <c r="D22" s="147" t="str">
        <f ca="1">ORÇAMENTO!O22</f>
        <v>1.2.1.</v>
      </c>
      <c r="E22" s="207" t="str">
        <f t="shared" ca="1" si="2"/>
        <v>ESCAVACAO MECANICA CAMPO ABERTO EM SOLO EXCETO ROCHA ATE 2,00M PROFUNDIDADE</v>
      </c>
      <c r="F22" s="208" t="str">
        <f t="shared" ca="1" si="3"/>
        <v>M3</v>
      </c>
      <c r="G22" s="152">
        <f ca="1">IF(RegimeExecucao="Global","",ORÇAMENTO!T22)</f>
        <v>80</v>
      </c>
      <c r="H22" s="152">
        <f ca="1">IF(RegimeExecucao="Global","",ORÇAMENTO!W22)</f>
        <v>2.5</v>
      </c>
      <c r="I22" s="155">
        <f ca="1">ORÇAMENTO!X22</f>
        <v>200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1.2.2.</v>
      </c>
      <c r="E23" s="207" t="str">
        <f t="shared" ca="1" si="2"/>
        <v>CONCRETO FCK = 20MPA, TRAÇO 1:2,7:3 (CIMENTO/ AREIA MÉDIA/ BRITA 1)  - PREPARO MECÂNICO COM BETONEIRA 400 L. AF_07/2016</v>
      </c>
      <c r="F23" s="208" t="str">
        <f t="shared" ca="1" si="3"/>
        <v>M3</v>
      </c>
      <c r="G23" s="152">
        <f ca="1">IF(RegimeExecucao="Global","",ORÇAMENTO!T23)</f>
        <v>6.02</v>
      </c>
      <c r="H23" s="152">
        <f ca="1">IF(RegimeExecucao="Global","",ORÇAMENTO!W23)</f>
        <v>365.07</v>
      </c>
      <c r="I23" s="155">
        <f ca="1">ORÇAMENTO!X23</f>
        <v>2197.7199999999998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1.2.3.</v>
      </c>
      <c r="E24" s="207" t="str">
        <f t="shared" ca="1" si="2"/>
        <v>ARMAÇÃO DE PILAR OU VIGA DE UMA ESTRUTURA CONVENCIONAL DE CONCRETO ARMADO EM UM EDIFÍCIO DE MÚLTIPLOS PAVIMENTOS UTILIZANDO AÇO CA-50 DE 6,3 MM - MONTAGEM. AF_12/2015</v>
      </c>
      <c r="F24" s="208" t="str">
        <f t="shared" ca="1" si="3"/>
        <v>KG</v>
      </c>
      <c r="G24" s="152">
        <f ca="1">IF(RegimeExecucao="Global","",ORÇAMENTO!T24)</f>
        <v>236</v>
      </c>
      <c r="H24" s="152">
        <f ca="1">IF(RegimeExecucao="Global","",ORÇAMENTO!W24)</f>
        <v>11.74</v>
      </c>
      <c r="I24" s="155">
        <f ca="1">ORÇAMENTO!X24</f>
        <v>2770.64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1.2.4.</v>
      </c>
      <c r="E25" s="207" t="str">
        <f t="shared" ca="1" si="2"/>
        <v>ARMAÇÃO DE PILAR OU VIGA DE UMA ESTRUTURA CONVENCIONAL DE CONCRETO ARMADO EM UM EDIFÍCIO DE MÚLTIPLOS PAVIMENTOS UTILIZANDO AÇO CA-50 DE 10,0 MM - MONTAGEM. AF_12/2015</v>
      </c>
      <c r="F25" s="208" t="str">
        <f t="shared" ca="1" si="3"/>
        <v>KG</v>
      </c>
      <c r="G25" s="152">
        <f ca="1">IF(RegimeExecucao="Global","",ORÇAMENTO!T25)</f>
        <v>565.4</v>
      </c>
      <c r="H25" s="152">
        <f ca="1">IF(RegimeExecucao="Global","",ORÇAMENTO!W25)</f>
        <v>9.31</v>
      </c>
      <c r="I25" s="155">
        <f ca="1">ORÇAMENTO!X25</f>
        <v>5263.87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1.2.5.</v>
      </c>
      <c r="E26" s="207" t="str">
        <f t="shared" ca="1" si="2"/>
        <v>ALVENARIA DE VEDAÇÃO DE BLOCOS CERÂMICOS FURADOS NA HORIZONTAL DE 9X14X19CM (ESPESSURA 9CM) DE PAREDES COM ÁREA LÍQUIDA MAIOR OU IGUAL A 6M² SEM VÃOS E ARGAMASSA DE ASSENTAMENTO COM PREPARO MANUAL. AF_06/2014</v>
      </c>
      <c r="F26" s="208" t="str">
        <f t="shared" ca="1" si="3"/>
        <v>M2</v>
      </c>
      <c r="G26" s="152">
        <f ca="1">IF(RegimeExecucao="Global","",ORÇAMENTO!T26)</f>
        <v>92.31</v>
      </c>
      <c r="H26" s="152">
        <f ca="1">IF(RegimeExecucao="Global","",ORÇAMENTO!W26)</f>
        <v>80.459999999999994</v>
      </c>
      <c r="I26" s="155">
        <f ca="1">ORÇAMENTO!X26</f>
        <v>7427.26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1.2.6.</v>
      </c>
      <c r="E27" s="207" t="str">
        <f t="shared" ca="1" si="2"/>
        <v>LASTRO COM MATERIAL GRANULAR, APLICAÇÃO EM PISOS OU RADIERS, ESPESSURA DE *5 CM*. AF_08/2017</v>
      </c>
      <c r="F27" s="208" t="str">
        <f t="shared" ca="1" si="3"/>
        <v>M3</v>
      </c>
      <c r="G27" s="152">
        <f ca="1">IF(RegimeExecucao="Global","",ORÇAMENTO!T27)</f>
        <v>4</v>
      </c>
      <c r="H27" s="152">
        <f ca="1">IF(RegimeExecucao="Global","",ORÇAMENTO!W27)</f>
        <v>108.43</v>
      </c>
      <c r="I27" s="155">
        <f ca="1">ORÇAMENTO!X27</f>
        <v>433.72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1.2.7.</v>
      </c>
      <c r="E28" s="207" t="str">
        <f t="shared" ca="1" si="2"/>
        <v>TABUA DE MADEIRA NAO APARELHADA *2,5 X 30* CM, CEDRINHO OU EQUIVALENTE DA REGIAO</v>
      </c>
      <c r="F28" s="208" t="str">
        <f t="shared" ca="1" si="3"/>
        <v xml:space="preserve">M     </v>
      </c>
      <c r="G28" s="152">
        <f ca="1">IF(RegimeExecucao="Global","",ORÇAMENTO!T28)</f>
        <v>84</v>
      </c>
      <c r="H28" s="152">
        <f ca="1">IF(RegimeExecucao="Global","",ORÇAMENTO!W28)</f>
        <v>15.61</v>
      </c>
      <c r="I28" s="155">
        <f ca="1">ORÇAMENTO!X28</f>
        <v>1311.24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1.2.8.</v>
      </c>
      <c r="E29" s="207" t="str">
        <f t="shared" ca="1" si="2"/>
        <v>RUFO EXTERNO DE CHAPA DE ACO GALVANIZADA NUM 26, CORTE 28 CM</v>
      </c>
      <c r="F29" s="208" t="str">
        <f t="shared" ca="1" si="3"/>
        <v xml:space="preserve">M     </v>
      </c>
      <c r="G29" s="152">
        <f ca="1">IF(RegimeExecucao="Global","",ORÇAMENTO!T29)</f>
        <v>21.15</v>
      </c>
      <c r="H29" s="152">
        <f ca="1">IF(RegimeExecucao="Global","",ORÇAMENTO!W29)</f>
        <v>19.510000000000002</v>
      </c>
      <c r="I29" s="155">
        <f ca="1">ORÇAMENTO!X29</f>
        <v>412.64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1.2.9.</v>
      </c>
      <c r="E30" s="207" t="str">
        <f t="shared" ca="1" si="2"/>
        <v>CALHA EM CHAPA DE AÇO GALVANIZADO NÚMERO 24, DESENVOLVIMENTO DE 33 CM, INCLUSO TRANSPORTE VERTICAL. AF_07/2019</v>
      </c>
      <c r="F30" s="208" t="str">
        <f t="shared" ca="1" si="3"/>
        <v>M</v>
      </c>
      <c r="G30" s="152">
        <f ca="1">IF(RegimeExecucao="Global","",ORÇAMENTO!T30)</f>
        <v>10.78</v>
      </c>
      <c r="H30" s="152">
        <f ca="1">IF(RegimeExecucao="Global","",ORÇAMENTO!W30)</f>
        <v>53.67</v>
      </c>
      <c r="I30" s="155">
        <f ca="1">ORÇAMENTO!X30</f>
        <v>578.55999999999995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1.2.10.</v>
      </c>
      <c r="E31" s="207" t="str">
        <f t="shared" ca="1" si="2"/>
        <v>FABRICAÇÃO E INSTALAÇÃO DE TESOURA INTEIRA EM AÇO, VÃO DE 5 M, PARA TELHA CERÂMICA OU DE CONCRETO, INCLUSO IÇAMENTO. AF_12/2015</v>
      </c>
      <c r="F31" s="208" t="str">
        <f t="shared" ca="1" si="3"/>
        <v>UN</v>
      </c>
      <c r="G31" s="152">
        <f ca="1">IF(RegimeExecucao="Global","",ORÇAMENTO!T31)</f>
        <v>5</v>
      </c>
      <c r="H31" s="152">
        <f ca="1">IF(RegimeExecucao="Global","",ORÇAMENTO!W31)</f>
        <v>856.08</v>
      </c>
      <c r="I31" s="155">
        <f ca="1">ORÇAMENTO!X31</f>
        <v>4280.3999999999996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>F</v>
      </c>
      <c r="D32" s="147" t="str">
        <f ca="1">ORÇAMENTO!O32</f>
        <v>1.2.11.</v>
      </c>
      <c r="E32" s="207" t="str">
        <f t="shared" ca="1" si="2"/>
        <v>FORRO DE PVC LISO, BRANCO, REGUA DE 10 CM, ESPESSURA DE 8 MM A 10 MM (COM COLOCACAO / SEM ESTRUTURA METALICA)</v>
      </c>
      <c r="F32" s="208" t="str">
        <f t="shared" ca="1" si="3"/>
        <v xml:space="preserve">M2    </v>
      </c>
      <c r="G32" s="152">
        <f ca="1">IF(RegimeExecucao="Global","",ORÇAMENTO!T32)</f>
        <v>42.22</v>
      </c>
      <c r="H32" s="152">
        <f ca="1">IF(RegimeExecucao="Global","",ORÇAMENTO!W32)</f>
        <v>50.77</v>
      </c>
      <c r="I32" s="155">
        <f ca="1">ORÇAMENTO!X32</f>
        <v>2143.5100000000002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>F</v>
      </c>
      <c r="D33" s="147" t="str">
        <f ca="1">ORÇAMENTO!O33</f>
        <v>1.2.12.</v>
      </c>
      <c r="E33" s="207" t="str">
        <f t="shared" ca="1" si="2"/>
        <v>TELHAMENTO COM TELHA ONDULADA DE FIBROCIMENTO E = 6 MM, COM RECOBRIMENTO LATERAL DE 1 1/4 DE ONDA PARA TELHADO COM INCLINAÇÃO MÁXIMA DE 10°, COM ATÉ 2 ÁGUAS, INCLUSO IÇAMENTO. AF_07/2019</v>
      </c>
      <c r="F33" s="208" t="str">
        <f t="shared" ca="1" si="3"/>
        <v>M2</v>
      </c>
      <c r="G33" s="152">
        <f ca="1">IF(RegimeExecucao="Global","",ORÇAMENTO!T33)</f>
        <v>55.81</v>
      </c>
      <c r="H33" s="152">
        <f ca="1">IF(RegimeExecucao="Global","",ORÇAMENTO!W33)</f>
        <v>43.26</v>
      </c>
      <c r="I33" s="155">
        <f ca="1">ORÇAMENTO!X33</f>
        <v>2414.34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>
        <f ca="1">ORÇAMENTO!C36</f>
        <v>2</v>
      </c>
      <c r="B36">
        <f ca="1">ORÇAMENTO!D36</f>
        <v>12</v>
      </c>
      <c r="C36" s="144" t="str">
        <f t="shared" ca="1" si="1"/>
        <v>F</v>
      </c>
      <c r="D36" s="147" t="str">
        <f ca="1">ORÇAMENTO!O36</f>
        <v>1.3.</v>
      </c>
      <c r="E36" s="207" t="str">
        <f t="shared" ca="1" si="2"/>
        <v>(REVESTIMENTOS)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16364.91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1.3.1.</v>
      </c>
      <c r="E37" s="207" t="str">
        <f t="shared" ca="1" si="2"/>
        <v>CONTRAPISO EM ARGAMASSA TRAÇO 1:4 (CIMENTO E AREIA), PREPARO MECÂNICO COM BETONEIRA 400 L, APLICADO EM ÁREAS SECAS SOBRE LAJE, NÃO ADERIDO, ESPESSURA 6CM. AF_06/2014</v>
      </c>
      <c r="F37" s="208" t="str">
        <f t="shared" ca="1" si="3"/>
        <v>M2</v>
      </c>
      <c r="G37" s="152">
        <f ca="1">IF(RegimeExecucao="Global","",ORÇAMENTO!T37)</f>
        <v>31.22</v>
      </c>
      <c r="H37" s="152">
        <f ca="1">IF(RegimeExecucao="Global","",ORÇAMENTO!W37)</f>
        <v>45.77</v>
      </c>
      <c r="I37" s="155">
        <f ca="1">ORÇAMENTO!X37</f>
        <v>1428.94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1.3.2.</v>
      </c>
      <c r="E38" s="207" t="str">
        <f t="shared" ca="1" si="2"/>
        <v>CHAPISCO APLICADO SOMENTE EM ESTRUTURAS DE CONCRETO EM ALVENARIAS INTERNAS, COM DESEMPENADEIRA DENTADA. ARGAMASSA INDUSTRIALIZADA COM PREPARO MANUAL. AF_06/2014</v>
      </c>
      <c r="F38" s="208" t="str">
        <f t="shared" ca="1" si="3"/>
        <v>M2</v>
      </c>
      <c r="G38" s="152">
        <f ca="1">IF(RegimeExecucao="Global","",ORÇAMENTO!T38)</f>
        <v>93.75</v>
      </c>
      <c r="H38" s="152">
        <f ca="1">IF(RegimeExecucao="Global","",ORÇAMENTO!W38)</f>
        <v>18.34</v>
      </c>
      <c r="I38" s="155">
        <f ca="1">ORÇAMENTO!X38</f>
        <v>1719.38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1.3.3.</v>
      </c>
      <c r="E39" s="207" t="str">
        <f t="shared" ca="1" si="2"/>
        <v>CHAPISCO APLICADO EM ALVENARIA (SEM PRESENÇA DE VÃOS) E ESTRUTURAS DE CONCRETO DE FACHADA, COM ROLO PARA TEXTURA ACRÍLICA.  ARGAMASSA TRAÇO 1:4 E EMULSÃO POLIMÉRICA (ADESIVO) COM PREPARO MANUAL. AF_06/2014</v>
      </c>
      <c r="F39" s="208" t="str">
        <f t="shared" ca="1" si="3"/>
        <v>M2</v>
      </c>
      <c r="G39" s="152">
        <f ca="1">IF(RegimeExecucao="Global","",ORÇAMENTO!T39)</f>
        <v>60</v>
      </c>
      <c r="H39" s="152">
        <f ca="1">IF(RegimeExecucao="Global","",ORÇAMENTO!W39)</f>
        <v>6.1</v>
      </c>
      <c r="I39" s="155">
        <f ca="1">ORÇAMENTO!X39</f>
        <v>366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>F</v>
      </c>
      <c r="D40" s="147" t="str">
        <f ca="1">ORÇAMENTO!O40</f>
        <v>1.3.4.</v>
      </c>
      <c r="E40" s="207" t="str">
        <f t="shared" ca="1" si="2"/>
        <v>EMBOÇO, PARA RECEBIMENTO DE CERÂMICA, EM ARGAMASSA TRAÇO 1:2:8, PREPARO MANUAL, APLICADO MANUALMENTE EM FACES INTERNAS DE PAREDES, PARA AMBIENTE COM ÁREA  ENTRE 5M2 E 10M2, ESPESSURA DE 20MM, COM EXECUÇÃO DE TALISCAS. AF_06/2014</v>
      </c>
      <c r="F40" s="208" t="str">
        <f t="shared" ca="1" si="3"/>
        <v>M2</v>
      </c>
      <c r="G40" s="152">
        <f ca="1">IF(RegimeExecucao="Global","",ORÇAMENTO!T40)</f>
        <v>93.75</v>
      </c>
      <c r="H40" s="152">
        <f ca="1">IF(RegimeExecucao="Global","",ORÇAMENTO!W40)</f>
        <v>34.75</v>
      </c>
      <c r="I40" s="155">
        <f ca="1">ORÇAMENTO!X40</f>
        <v>3257.81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>F</v>
      </c>
      <c r="D41" s="147" t="str">
        <f ca="1">ORÇAMENTO!O41</f>
        <v>1.3.5.</v>
      </c>
      <c r="E41" s="207" t="str">
        <f t="shared" ca="1" si="2"/>
        <v>EMBOÇO OU MASSA ÚNICA EM ARGAMASSA TRAÇO 1:2:8, PREPARO MANUAL, APLICADA MANUALMENTE EM PANOS DE FACHADA COM PRESENÇA DE VÃOS, ESPESSURA DE 25 MM. AF_06/2014</v>
      </c>
      <c r="F41" s="208" t="str">
        <f t="shared" ca="1" si="3"/>
        <v>M2</v>
      </c>
      <c r="G41" s="152">
        <f ca="1">IF(RegimeExecucao="Global","",ORÇAMENTO!T41)</f>
        <v>60</v>
      </c>
      <c r="H41" s="152">
        <f ca="1">IF(RegimeExecucao="Global","",ORÇAMENTO!W41)</f>
        <v>57.54</v>
      </c>
      <c r="I41" s="155">
        <f ca="1">ORÇAMENTO!X41</f>
        <v>3452.4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>F</v>
      </c>
      <c r="D42" s="147" t="str">
        <f ca="1">ORÇAMENTO!O42</f>
        <v>1.3.6.</v>
      </c>
      <c r="E42" s="207" t="str">
        <f t="shared" ca="1" si="2"/>
        <v>REVESTIMENTO CERÂMICO PARA PAREDES INTERNAS COM PLACAS TIPO ESMALTADA EXTRA DE DIMENSÕES 20X20 CM APLICADAS EM AMBIENTES DE ÁREA MENOR QUE 5 M² A MEIA ALTURA DAS PAREDES. AF_06/2014</v>
      </c>
      <c r="F42" s="208" t="str">
        <f t="shared" ca="1" si="3"/>
        <v>M2</v>
      </c>
      <c r="G42" s="152">
        <f ca="1">IF(RegimeExecucao="Global","",ORÇAMENTO!T42)</f>
        <v>58</v>
      </c>
      <c r="H42" s="152">
        <f ca="1">IF(RegimeExecucao="Global","",ORÇAMENTO!W42)</f>
        <v>59.23</v>
      </c>
      <c r="I42" s="155">
        <f ca="1">ORÇAMENTO!X42</f>
        <v>3435.34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1.3.7.</v>
      </c>
      <c r="E43" s="207" t="str">
        <f t="shared" ca="1" si="2"/>
        <v>REJUNTE COLORIDO, CIMENTICIO</v>
      </c>
      <c r="F43" s="208" t="str">
        <f t="shared" ca="1" si="3"/>
        <v xml:space="preserve">KG    </v>
      </c>
      <c r="G43" s="152">
        <f ca="1">IF(RegimeExecucao="Global","",ORÇAMENTO!T43)</f>
        <v>23</v>
      </c>
      <c r="H43" s="152">
        <f ca="1">IF(RegimeExecucao="Global","",ORÇAMENTO!W43)</f>
        <v>3.81</v>
      </c>
      <c r="I43" s="155">
        <f ca="1">ORÇAMENTO!X43</f>
        <v>87.63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1.3.8.</v>
      </c>
      <c r="E44" s="207" t="str">
        <f t="shared" ca="1" si="2"/>
        <v>(COMPOSIÇÃO REPRESENTATIVA) DO SERVIÇO DE REVESTIMENTO CERÂMICO PARA PISO COM PLACAS TIPO GRÉS DE DIMENSÕES 35X35 CM, PARA EDIFICAÇÃO HABITACIONAL UNIFAMILIAR (CASA) E EDIFICAÇÃO PÚBLICA PADRÃO. AF_11/2014</v>
      </c>
      <c r="F44" s="208" t="str">
        <f t="shared" ca="1" si="3"/>
        <v>M2</v>
      </c>
      <c r="G44" s="152">
        <f ca="1">IF(RegimeExecucao="Global","",ORÇAMENTO!T44)</f>
        <v>31.22</v>
      </c>
      <c r="H44" s="152">
        <f ca="1">IF(RegimeExecucao="Global","",ORÇAMENTO!W44)</f>
        <v>38.35</v>
      </c>
      <c r="I44" s="155">
        <f ca="1">ORÇAMENTO!X44</f>
        <v>1197.29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1.3.9.</v>
      </c>
      <c r="E45" s="207" t="str">
        <f t="shared" ca="1" si="2"/>
        <v>APLICAÇÃO MANUAL DE PINTURA COM TINTA TEXTURIZADA ACRÍLICA EM PANOS CEGOS DE FACHADA (SEM PRESENÇA DE VÃOS) DE EDIFÍCIOS DE MÚLTIPLOS PAVIMENTOS, UMA COR. AF_06/2014</v>
      </c>
      <c r="F45" s="208" t="str">
        <f t="shared" ca="1" si="3"/>
        <v>M2</v>
      </c>
      <c r="G45" s="152">
        <f ca="1">IF(RegimeExecucao="Global","",ORÇAMENTO!T45)</f>
        <v>60</v>
      </c>
      <c r="H45" s="152">
        <f ca="1">IF(RegimeExecucao="Global","",ORÇAMENTO!W45)</f>
        <v>16.350000000000001</v>
      </c>
      <c r="I45" s="155">
        <f ca="1">ORÇAMENTO!X45</f>
        <v>981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1.3.10.</v>
      </c>
      <c r="E46" s="207" t="str">
        <f t="shared" ca="1" si="2"/>
        <v>SOLEIRA/ PEITORIL EM MARMORE, POLIDO, BRANCO COMUM, L= *15* CM, E=  *2* CM,  CORTE RETO</v>
      </c>
      <c r="F46" s="208" t="str">
        <f t="shared" ca="1" si="3"/>
        <v xml:space="preserve">M     </v>
      </c>
      <c r="G46" s="152">
        <f ca="1">IF(RegimeExecucao="Global","",ORÇAMENTO!T46)</f>
        <v>8</v>
      </c>
      <c r="H46" s="152">
        <f ca="1">IF(RegimeExecucao="Global","",ORÇAMENTO!W46)</f>
        <v>54.89</v>
      </c>
      <c r="I46" s="155">
        <f ca="1">ORÇAMENTO!X46</f>
        <v>439.12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>
        <f ca="1">ORÇAMENTO!C48</f>
        <v>2</v>
      </c>
      <c r="B48">
        <f ca="1">ORÇAMENTO!D48</f>
        <v>8</v>
      </c>
      <c r="C48" s="144" t="str">
        <f t="shared" ca="1" si="1"/>
        <v>F</v>
      </c>
      <c r="D48" s="147" t="str">
        <f ca="1">ORÇAMENTO!O48</f>
        <v>1.4.</v>
      </c>
      <c r="E48" s="207" t="str">
        <f t="shared" ca="1" si="2"/>
        <v>(ESQUADRIAS METALICAS/PORTAS DE MADEIRA)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3167.21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1.4.1.</v>
      </c>
      <c r="E49" s="207" t="str">
        <f t="shared" ca="1" si="2"/>
        <v>JANELA DE ALUMÍNIO TIPO MAXIM-AR, COM VIDROS, BATENTE E FERRAGENS. EXCLUSIVE ALIZAR, ACABAMENTO E CONTRAMARCO. FORNECIMENTO E INSTALAÇÃO. AF_12/2019</v>
      </c>
      <c r="F49" s="208" t="str">
        <f t="shared" ca="1" si="3"/>
        <v>M2</v>
      </c>
      <c r="G49" s="152">
        <f ca="1">IF(RegimeExecucao="Global","",ORÇAMENTO!T49)</f>
        <v>0.48</v>
      </c>
      <c r="H49" s="152">
        <f ca="1">IF(RegimeExecucao="Global","",ORÇAMENTO!W49)</f>
        <v>494.56</v>
      </c>
      <c r="I49" s="155">
        <f ca="1">ORÇAMENTO!X49</f>
        <v>237.39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>F</v>
      </c>
      <c r="D50" s="147" t="str">
        <f ca="1">ORÇAMENTO!O50</f>
        <v>1.4.2.</v>
      </c>
      <c r="E50" s="207" t="str">
        <f t="shared" ca="1" si="2"/>
        <v>JANELA BASCULANTE EM ALUMINIO, 100 X 80 CM (A X L), ACABAMENTO ACET OU BRILHANTE, BATENTE/REQUADRO DE 3 A 14 CM, COM VIDRO, SEM GUARNICAO/ALIZAR</v>
      </c>
      <c r="F50" s="208" t="str">
        <f t="shared" ca="1" si="3"/>
        <v xml:space="preserve">UN    </v>
      </c>
      <c r="G50" s="152">
        <f ca="1">IF(RegimeExecucao="Global","",ORÇAMENTO!T50)</f>
        <v>3</v>
      </c>
      <c r="H50" s="152">
        <f ca="1">IF(RegimeExecucao="Global","",ORÇAMENTO!W50)</f>
        <v>213.99</v>
      </c>
      <c r="I50" s="155">
        <f ca="1">ORÇAMENTO!X50</f>
        <v>641.97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1.4.3.</v>
      </c>
      <c r="E51" s="207" t="str">
        <f t="shared" ca="1" si="2"/>
        <v>PORTA DE MADEIRA PARA PINTURA, SEMI-OCA (LEVE OU MÉDIA), 80X210CM, ESPESSURA DE 3,5CM, INCLUSO DOBRADIÇAS - FORNECIMENTO E INSTALAÇÃO. AF_12/2019</v>
      </c>
      <c r="F51" s="208" t="str">
        <f t="shared" ca="1" si="3"/>
        <v>UN</v>
      </c>
      <c r="G51" s="152">
        <f ca="1">IF(RegimeExecucao="Global","",ORÇAMENTO!T51)</f>
        <v>5</v>
      </c>
      <c r="H51" s="152">
        <f ca="1">IF(RegimeExecucao="Global","",ORÇAMENTO!W51)</f>
        <v>360.22</v>
      </c>
      <c r="I51" s="155">
        <f ca="1">ORÇAMENTO!X51</f>
        <v>1801.1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>F</v>
      </c>
      <c r="D52" s="147" t="str">
        <f ca="1">ORÇAMENTO!O52</f>
        <v>1.4.4.</v>
      </c>
      <c r="E52" s="207" t="str">
        <f t="shared" ca="1" si="2"/>
        <v>PORTA VIDRO TEMPERADO INCOLOR, 2 FOLHAS DE CORRER, E = 10 MM (SEM FERRAGENS E SEM COLOCACAO)</v>
      </c>
      <c r="F52" s="208" t="str">
        <f t="shared" ca="1" si="3"/>
        <v xml:space="preserve">M2    </v>
      </c>
      <c r="G52" s="152">
        <f ca="1">IF(RegimeExecucao="Global","",ORÇAMENTO!T52)</f>
        <v>1.68</v>
      </c>
      <c r="H52" s="152">
        <f ca="1">IF(RegimeExecucao="Global","",ORÇAMENTO!W52)</f>
        <v>289.73</v>
      </c>
      <c r="I52" s="155">
        <f ca="1">ORÇAMENTO!X52</f>
        <v>486.75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>
        <f ca="1">ORÇAMENTO!C56</f>
        <v>2</v>
      </c>
      <c r="B56">
        <f ca="1">ORÇAMENTO!D56</f>
        <v>15</v>
      </c>
      <c r="C56" s="144" t="str">
        <f t="shared" ca="1" si="1"/>
        <v>F</v>
      </c>
      <c r="D56" s="147" t="str">
        <f ca="1">ORÇAMENTO!O56</f>
        <v>1.5.</v>
      </c>
      <c r="E56" s="207" t="str">
        <f t="shared" ca="1" si="2"/>
        <v>(INSTALAÇÕES ELETRICAS)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2347.87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>F</v>
      </c>
      <c r="D57" s="147" t="str">
        <f ca="1">ORÇAMENTO!O57</f>
        <v>1.5.1.</v>
      </c>
      <c r="E57" s="207" t="str">
        <f t="shared" ca="1" si="2"/>
        <v>FIO DE COBRE, SOLIDO, CLASSE 1, ISOLACAO EM PVC/A, ANTICHAMA BWF-B, 450/750V, SECAO NOMINAL 2,5 MM2</v>
      </c>
      <c r="F57" s="208" t="str">
        <f t="shared" ca="1" si="3"/>
        <v xml:space="preserve">M     </v>
      </c>
      <c r="G57" s="152">
        <f ca="1">IF(RegimeExecucao="Global","",ORÇAMENTO!T57)</f>
        <v>102</v>
      </c>
      <c r="H57" s="152">
        <f ca="1">IF(RegimeExecucao="Global","",ORÇAMENTO!W57)</f>
        <v>1.5</v>
      </c>
      <c r="I57" s="155">
        <f ca="1">ORÇAMENTO!X57</f>
        <v>153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>F</v>
      </c>
      <c r="D58" s="147" t="str">
        <f ca="1">ORÇAMENTO!O58</f>
        <v>1.5.2.</v>
      </c>
      <c r="E58" s="207" t="str">
        <f t="shared" ca="1" si="2"/>
        <v>FIO DE COBRE, SOLIDO, CLASSE 1, ISOLACAO EM PVC/A, ANTICHAMA BWF-B, 450/750V, SECAO NOMINAL 4 MM2</v>
      </c>
      <c r="F58" s="208" t="str">
        <f t="shared" ca="1" si="3"/>
        <v xml:space="preserve">M     </v>
      </c>
      <c r="G58" s="152">
        <f ca="1">IF(RegimeExecucao="Global","",ORÇAMENTO!T58)</f>
        <v>190</v>
      </c>
      <c r="H58" s="152">
        <f ca="1">IF(RegimeExecucao="Global","",ORÇAMENTO!W58)</f>
        <v>2.57</v>
      </c>
      <c r="I58" s="155">
        <f ca="1">ORÇAMENTO!X58</f>
        <v>488.3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>F</v>
      </c>
      <c r="D59" s="147" t="str">
        <f ca="1">ORÇAMENTO!O59</f>
        <v>1.5.3.</v>
      </c>
      <c r="E59" s="207" t="str">
        <f t="shared" ca="1" si="2"/>
        <v>FIO DE COBRE, SOLIDO, CLASSE 1, ISOLACAO EM PVC/A, ANTICHAMA BWF-B, 450/750V, SECAO NOMINAL 6 MM2</v>
      </c>
      <c r="F59" s="208" t="str">
        <f t="shared" ca="1" si="3"/>
        <v xml:space="preserve">M     </v>
      </c>
      <c r="G59" s="152">
        <f ca="1">IF(RegimeExecucao="Global","",ORÇAMENTO!T59)</f>
        <v>33</v>
      </c>
      <c r="H59" s="152">
        <f ca="1">IF(RegimeExecucao="Global","",ORÇAMENTO!W59)</f>
        <v>3.55</v>
      </c>
      <c r="I59" s="155">
        <f ca="1">ORÇAMENTO!X59</f>
        <v>117.15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>F</v>
      </c>
      <c r="D60" s="147" t="str">
        <f ca="1">ORÇAMENTO!O60</f>
        <v>1.5.4.</v>
      </c>
      <c r="E60" s="207" t="str">
        <f t="shared" ca="1" si="2"/>
        <v>INTERRUPTOR SIMPLES + INTERRUPTOR PARALELO 10A, 250V, CONJUNTO MONTADO PARA EMBUTIR 4" X 2" (PLACA + SUPORTE + MODULOS)</v>
      </c>
      <c r="F60" s="208" t="str">
        <f t="shared" ca="1" si="3"/>
        <v xml:space="preserve">UN    </v>
      </c>
      <c r="G60" s="152">
        <f ca="1">IF(RegimeExecucao="Global","",ORÇAMENTO!T60)</f>
        <v>6</v>
      </c>
      <c r="H60" s="152">
        <f ca="1">IF(RegimeExecucao="Global","",ORÇAMENTO!W60)</f>
        <v>19.52</v>
      </c>
      <c r="I60" s="155">
        <f ca="1">ORÇAMENTO!X60</f>
        <v>117.12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>F</v>
      </c>
      <c r="D61" s="147" t="str">
        <f ca="1">ORÇAMENTO!O61</f>
        <v>1.5.5.</v>
      </c>
      <c r="E61" s="207" t="str">
        <f t="shared" ca="1" si="2"/>
        <v>TOMADA MÉDIA DE EMBUTIR (1 MÓDULO), 2P+T 20 A, INCLUINDO SUPORTE E PLACA - FORNECIMENTO E INSTALAÇÃO. AF_12/2015</v>
      </c>
      <c r="F61" s="208" t="str">
        <f t="shared" ca="1" si="3"/>
        <v>UN</v>
      </c>
      <c r="G61" s="152">
        <f ca="1">IF(RegimeExecucao="Global","",ORÇAMENTO!T61)</f>
        <v>9</v>
      </c>
      <c r="H61" s="152">
        <f ca="1">IF(RegimeExecucao="Global","",ORÇAMENTO!W61)</f>
        <v>37.19</v>
      </c>
      <c r="I61" s="155">
        <f ca="1">ORÇAMENTO!X61</f>
        <v>334.71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>F</v>
      </c>
      <c r="D62" s="147" t="str">
        <f ca="1">ORÇAMENTO!O62</f>
        <v>1.5.6.</v>
      </c>
      <c r="E62" s="207" t="str">
        <f t="shared" ca="1" si="2"/>
        <v>TOMADA ALTA DE EMBUTIR (1 MÓDULO), 2P+T 10 A, SEM SUPORTE E SEM PLACA - FORNECIMENTO E INSTALAÇÃO. AF_12/2015</v>
      </c>
      <c r="F62" s="208" t="str">
        <f t="shared" ca="1" si="3"/>
        <v>UN</v>
      </c>
      <c r="G62" s="152">
        <f ca="1">IF(RegimeExecucao="Global","",ORÇAMENTO!T62)</f>
        <v>1</v>
      </c>
      <c r="H62" s="152">
        <f ca="1">IF(RegimeExecucao="Global","",ORÇAMENTO!W62)</f>
        <v>34.97</v>
      </c>
      <c r="I62" s="155">
        <f ca="1">ORÇAMENTO!X62</f>
        <v>34.97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>F</v>
      </c>
      <c r="D63" s="147" t="str">
        <f ca="1">ORÇAMENTO!O63</f>
        <v>1.5.7.</v>
      </c>
      <c r="E63" s="207" t="str">
        <f t="shared" ca="1" si="2"/>
        <v>QUADRO DE DISTRIBUICAO, SEM BARRAMENTO, EM PVC, DE SOBREPOR, PARA 6 DISJUNTORES NEMA OU 8 DISJUNTORES DIN</v>
      </c>
      <c r="F63" s="208" t="str">
        <f t="shared" ca="1" si="3"/>
        <v xml:space="preserve">UN    </v>
      </c>
      <c r="G63" s="152">
        <f ca="1">IF(RegimeExecucao="Global","",ORÇAMENTO!T63)</f>
        <v>1</v>
      </c>
      <c r="H63" s="152">
        <f ca="1">IF(RegimeExecucao="Global","",ORÇAMENTO!W63)</f>
        <v>61.46</v>
      </c>
      <c r="I63" s="155">
        <f ca="1">ORÇAMENTO!X63</f>
        <v>61.46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>F</v>
      </c>
      <c r="D64" s="147" t="str">
        <f ca="1">ORÇAMENTO!O64</f>
        <v>1.5.8.</v>
      </c>
      <c r="E64" s="207" t="str">
        <f t="shared" ca="1" si="2"/>
        <v>SOQUETE DE PORCELANA BASE E27, FIXO DE TETO, PARA LAMPADAS</v>
      </c>
      <c r="F64" s="208" t="str">
        <f t="shared" ca="1" si="3"/>
        <v xml:space="preserve">UN    </v>
      </c>
      <c r="G64" s="152">
        <f ca="1">IF(RegimeExecucao="Global","",ORÇAMENTO!T64)</f>
        <v>8</v>
      </c>
      <c r="H64" s="152">
        <f ca="1">IF(RegimeExecucao="Global","",ORÇAMENTO!W64)</f>
        <v>4.04</v>
      </c>
      <c r="I64" s="155">
        <f ca="1">ORÇAMENTO!X64</f>
        <v>32.32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>F</v>
      </c>
      <c r="D65" s="147" t="str">
        <f ca="1">ORÇAMENTO!O65</f>
        <v>1.5.9.</v>
      </c>
      <c r="E65" s="207" t="str">
        <f t="shared" ca="1" si="2"/>
        <v>LAMPADA FLUORESCENTE ESPIRAL BRANCA 45 W, BASE E27 (127/220 V)</v>
      </c>
      <c r="F65" s="208" t="str">
        <f t="shared" ca="1" si="3"/>
        <v xml:space="preserve">UN    </v>
      </c>
      <c r="G65" s="152">
        <f ca="1">IF(RegimeExecucao="Global","",ORÇAMENTO!T65)</f>
        <v>8</v>
      </c>
      <c r="H65" s="152">
        <f ca="1">IF(RegimeExecucao="Global","",ORÇAMENTO!W65)</f>
        <v>62.48</v>
      </c>
      <c r="I65" s="155">
        <f ca="1">ORÇAMENTO!X65</f>
        <v>499.84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>F</v>
      </c>
      <c r="D66" s="147" t="str">
        <f ca="1">ORÇAMENTO!O66</f>
        <v>1.5.10.</v>
      </c>
      <c r="E66" s="207" t="str">
        <f t="shared" ca="1" si="2"/>
        <v>ELETRODUTO RÍGIDO ROSCÁVEL, PVC, DN 25 MM (3/4"), PARA CIRCUITOS TERMINAIS, INSTALADO EM FORRO - FORNECIMENTO E INSTALAÇÃO. AF_12/2015</v>
      </c>
      <c r="F66" s="208" t="str">
        <f t="shared" ca="1" si="3"/>
        <v>M</v>
      </c>
      <c r="G66" s="152">
        <f ca="1">IF(RegimeExecucao="Global","",ORÇAMENTO!T66)</f>
        <v>20</v>
      </c>
      <c r="H66" s="152">
        <f ca="1">IF(RegimeExecucao="Global","",ORÇAMENTO!W66)</f>
        <v>10.93</v>
      </c>
      <c r="I66" s="155">
        <f ca="1">ORÇAMENTO!X66</f>
        <v>218.6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>F</v>
      </c>
      <c r="D67" s="147" t="str">
        <f ca="1">ORÇAMENTO!O67</f>
        <v>1.5.11.</v>
      </c>
      <c r="E67" s="207" t="str">
        <f t="shared" ca="1" si="2"/>
        <v>RASGO EM ALVENARIA PARA ELETRODUTOS COM DIAMETROS MENORES OU IGUAIS A 40 MM. AF_05/2015</v>
      </c>
      <c r="F67" s="208" t="str">
        <f t="shared" ca="1" si="3"/>
        <v>M</v>
      </c>
      <c r="G67" s="152">
        <f ca="1">IF(RegimeExecucao="Global","",ORÇAMENTO!T67)</f>
        <v>20</v>
      </c>
      <c r="H67" s="152">
        <f ca="1">IF(RegimeExecucao="Global","",ORÇAMENTO!W67)</f>
        <v>6.93</v>
      </c>
      <c r="I67" s="155">
        <f ca="1">ORÇAMENTO!X67</f>
        <v>138.6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>F</v>
      </c>
      <c r="D68" s="147" t="str">
        <f ca="1">ORÇAMENTO!O68</f>
        <v>1.5.12.</v>
      </c>
      <c r="E68" s="207" t="str">
        <f t="shared" ca="1" si="2"/>
        <v>ELETRODUTO PVC FLEXIVEL CORRUGADO, COR AMARELA, DE 20 MM</v>
      </c>
      <c r="F68" s="208" t="str">
        <f t="shared" ca="1" si="3"/>
        <v xml:space="preserve">M     </v>
      </c>
      <c r="G68" s="152">
        <f ca="1">IF(RegimeExecucao="Global","",ORÇAMENTO!T68)</f>
        <v>30</v>
      </c>
      <c r="H68" s="152">
        <f ca="1">IF(RegimeExecucao="Global","",ORÇAMENTO!W68)</f>
        <v>1.85</v>
      </c>
      <c r="I68" s="155">
        <f ca="1">ORÇAMENTO!X68</f>
        <v>55.5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>F</v>
      </c>
      <c r="D69" s="147" t="str">
        <f ca="1">ORÇAMENTO!O69</f>
        <v>1.5.13.</v>
      </c>
      <c r="E69" s="207" t="str">
        <f t="shared" ca="1" si="2"/>
        <v>DISJUNTOR MONOPOLAR TIPO DIN, CORRENTE NOMINAL DE 25A - FORNECIMENTO E INSTALAÇÃO. AF_04/2016</v>
      </c>
      <c r="F69" s="208" t="str">
        <f t="shared" ca="1" si="3"/>
        <v>UN</v>
      </c>
      <c r="G69" s="152">
        <f ca="1">IF(RegimeExecucao="Global","",ORÇAMENTO!T69)</f>
        <v>6</v>
      </c>
      <c r="H69" s="152">
        <f ca="1">IF(RegimeExecucao="Global","",ORÇAMENTO!W69)</f>
        <v>16.05</v>
      </c>
      <c r="I69" s="155">
        <f ca="1">ORÇAMENTO!X69</f>
        <v>96.3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>
        <f ca="1">ORÇAMENTO!C71</f>
        <v>2</v>
      </c>
      <c r="B71">
        <f ca="1">ORÇAMENTO!D71</f>
        <v>20</v>
      </c>
      <c r="C71" s="144" t="str">
        <f t="shared" ca="1" si="1"/>
        <v>F</v>
      </c>
      <c r="D71" s="147" t="str">
        <f ca="1">ORÇAMENTO!O71</f>
        <v>1.6.</v>
      </c>
      <c r="E71" s="207" t="str">
        <f t="shared" ca="1" si="2"/>
        <v>(INSTALAÇÕES HIDRAULICAS)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6033.12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>F</v>
      </c>
      <c r="D72" s="147" t="str">
        <f ca="1">ORÇAMENTO!O72</f>
        <v>1.6.1.</v>
      </c>
      <c r="E72" s="207" t="str">
        <f t="shared" ca="1" si="2"/>
        <v>TUBO PVC, SERIE NORMAL, ESGOTO PREDIAL, DN 100 MM, FORNECIDO E INSTALADO EM RAMAL DE DESCARGA OU RAMAL DE ESGOTO SANITÁRIO. AF_12/2014</v>
      </c>
      <c r="F72" s="208" t="str">
        <f t="shared" ca="1" si="3"/>
        <v>M</v>
      </c>
      <c r="G72" s="152">
        <f ca="1">IF(RegimeExecucao="Global","",ORÇAMENTO!T72)</f>
        <v>32</v>
      </c>
      <c r="H72" s="152">
        <f ca="1">IF(RegimeExecucao="Global","",ORÇAMENTO!W72)</f>
        <v>56.2</v>
      </c>
      <c r="I72" s="155">
        <f ca="1">ORÇAMENTO!X72</f>
        <v>1798.4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>F</v>
      </c>
      <c r="D73" s="147" t="str">
        <f ca="1">ORÇAMENTO!O73</f>
        <v>1.6.2.</v>
      </c>
      <c r="E73" s="207" t="str">
        <f t="shared" ca="1" si="2"/>
        <v>TUBO PVC, SOLDAVEL, DN 25 MM, AGUA FRIA (NBR-5648)</v>
      </c>
      <c r="F73" s="208" t="str">
        <f t="shared" ca="1" si="3"/>
        <v xml:space="preserve">M     </v>
      </c>
      <c r="G73" s="152">
        <f ca="1">IF(RegimeExecucao="Global","",ORÇAMENTO!T73)</f>
        <v>30</v>
      </c>
      <c r="H73" s="152">
        <f ca="1">IF(RegimeExecucao="Global","",ORÇAMENTO!W73)</f>
        <v>3.18</v>
      </c>
      <c r="I73" s="155">
        <f ca="1">ORÇAMENTO!X73</f>
        <v>95.4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>F</v>
      </c>
      <c r="D74" s="147" t="str">
        <f ca="1">ORÇAMENTO!O74</f>
        <v>1.6.3.</v>
      </c>
      <c r="E74" s="207" t="str">
        <f t="shared" ca="1" si="2"/>
        <v>TUBO PVC, SERIE NORMAL, ESGOTO PREDIAL, DN 50 MM, FORNECIDO E INSTALADO EM RAMAL DE DESCARGA OU RAMAL DE ESGOTO SANITÁRIO. AF_12/2014</v>
      </c>
      <c r="F74" s="208" t="str">
        <f t="shared" ca="1" si="3"/>
        <v>M</v>
      </c>
      <c r="G74" s="152">
        <f ca="1">IF(RegimeExecucao="Global","",ORÇAMENTO!T74)</f>
        <v>6</v>
      </c>
      <c r="H74" s="152">
        <f ca="1">IF(RegimeExecucao="Global","",ORÇAMENTO!W74)</f>
        <v>28.59</v>
      </c>
      <c r="I74" s="155">
        <f ca="1">ORÇAMENTO!X74</f>
        <v>171.54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>F</v>
      </c>
      <c r="D75" s="147" t="str">
        <f ca="1">ORÇAMENTO!O75</f>
        <v>1.6.4.</v>
      </c>
      <c r="E75" s="207" t="str">
        <f t="shared" ca="1" si="2"/>
        <v>CAIXA DE PASSAGEM 30X30X40 COM TAMPA E DRENO BRITA</v>
      </c>
      <c r="F75" s="208" t="str">
        <f t="shared" ca="1" si="3"/>
        <v>UN</v>
      </c>
      <c r="G75" s="152">
        <f ca="1">IF(RegimeExecucao="Global","",ORÇAMENTO!T75)</f>
        <v>7</v>
      </c>
      <c r="H75" s="152">
        <f ca="1">IF(RegimeExecucao="Global","",ORÇAMENTO!W75)</f>
        <v>201</v>
      </c>
      <c r="I75" s="155">
        <f ca="1">ORÇAMENTO!X75</f>
        <v>1407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>F</v>
      </c>
      <c r="D76" s="147" t="str">
        <f ca="1">ORÇAMENTO!O76</f>
        <v>1.6.5.</v>
      </c>
      <c r="E76" s="207" t="str">
        <f t="shared" ca="1" si="2"/>
        <v>BACIA SANITARIA (VASO) COM CAIXA ACOPLADA, DE LOUCA BRANCA</v>
      </c>
      <c r="F76" s="208" t="str">
        <f t="shared" ca="1" si="3"/>
        <v xml:space="preserve">UN    </v>
      </c>
      <c r="G76" s="152">
        <f ca="1">IF(RegimeExecucao="Global","",ORÇAMENTO!T76)</f>
        <v>1</v>
      </c>
      <c r="H76" s="152">
        <f ca="1">IF(RegimeExecucao="Global","",ORÇAMENTO!W76)</f>
        <v>448.21</v>
      </c>
      <c r="I76" s="155">
        <f ca="1">ORÇAMENTO!X76</f>
        <v>448.21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>F</v>
      </c>
      <c r="D77" s="147" t="str">
        <f ca="1">ORÇAMENTO!O77</f>
        <v>1.6.6.</v>
      </c>
      <c r="E77" s="207" t="str">
        <f t="shared" ca="1" si="2"/>
        <v>CAIXA SIFONADA, PVC, DN 100 X 100 X 50 MM, JUNTA ELÁSTICA, FORNECIDA E INSTALADA EM RAMAL DE DESCARGA OU EM RAMAL DE ESGOTO SANITÁRIO. AF_12/2014</v>
      </c>
      <c r="F77" s="208" t="str">
        <f t="shared" ca="1" si="3"/>
        <v>UN</v>
      </c>
      <c r="G77" s="152">
        <f ca="1">IF(RegimeExecucao="Global","",ORÇAMENTO!T77)</f>
        <v>4</v>
      </c>
      <c r="H77" s="152">
        <f ca="1">IF(RegimeExecucao="Global","",ORÇAMENTO!W77)</f>
        <v>33.01</v>
      </c>
      <c r="I77" s="155">
        <f ca="1">ORÇAMENTO!X77</f>
        <v>132.04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>F</v>
      </c>
      <c r="D78" s="147" t="str">
        <f ca="1">ORÇAMENTO!O78</f>
        <v>1.6.7.</v>
      </c>
      <c r="E78" s="207" t="str">
        <f t="shared" ca="1" si="2"/>
        <v>TE, PVC, SOLDÁVEL, DN 25MM, INSTALADO EM RAMAL DE DISTRIBUIÇÃO DE ÁGUA - FORNECIMENTO E INSTALAÇÃO. AF_12/2014</v>
      </c>
      <c r="F78" s="208" t="str">
        <f t="shared" ca="1" si="3"/>
        <v>UN</v>
      </c>
      <c r="G78" s="152">
        <f ca="1">IF(RegimeExecucao="Global","",ORÇAMENTO!T78)</f>
        <v>10</v>
      </c>
      <c r="H78" s="152">
        <f ca="1">IF(RegimeExecucao="Global","",ORÇAMENTO!W78)</f>
        <v>8.66</v>
      </c>
      <c r="I78" s="155">
        <f ca="1">ORÇAMENTO!X78</f>
        <v>86.6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>F</v>
      </c>
      <c r="D79" s="147" t="str">
        <f ca="1">ORÇAMENTO!O79</f>
        <v>1.6.8.</v>
      </c>
      <c r="E79" s="207" t="str">
        <f t="shared" ca="1" si="2"/>
        <v>JOELHO 90 GRAUS, PVC, SERIE NORMAL, ESGOTO PREDIAL, DN 100 MM, JUNTA ELÁSTICA, FORNECIDO E INSTALADO EM RAMAL DE DESCARGA OU RAMAL DE ESGOTO SANITÁRIO. AF_12/2014</v>
      </c>
      <c r="F79" s="208" t="str">
        <f t="shared" ca="1" si="3"/>
        <v>UN</v>
      </c>
      <c r="G79" s="152">
        <f ca="1">IF(RegimeExecucao="Global","",ORÇAMENTO!T79)</f>
        <v>14</v>
      </c>
      <c r="H79" s="152">
        <f ca="1">IF(RegimeExecucao="Global","",ORÇAMENTO!W79)</f>
        <v>23.22</v>
      </c>
      <c r="I79" s="155">
        <f ca="1">ORÇAMENTO!X79</f>
        <v>325.08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1.6.9.</v>
      </c>
      <c r="E80" s="207" t="str">
        <f t="shared" ref="E80:E143" ca="1" si="13">ORÇAMENTO.Descricao</f>
        <v>JOELHO 90 GRAUS, PVC, SOLDÁVEL, DN 25MM, INSTALADO EM RAMAL OU SUB-RAMAL DE ÁGUA - FORNECIMENTO E INSTALAÇÃO. AF_12/2014</v>
      </c>
      <c r="F80" s="208" t="str">
        <f t="shared" ref="F80:F143" ca="1" si="14">IF(RegimeExecucao="Global","",ORÇAMENTO.Unidade)</f>
        <v>UN</v>
      </c>
      <c r="G80" s="152">
        <f ca="1">IF(RegimeExecucao="Global","",ORÇAMENTO!T80)</f>
        <v>14</v>
      </c>
      <c r="H80" s="152">
        <f ca="1">IF(RegimeExecucao="Global","",ORÇAMENTO!W80)</f>
        <v>9.14</v>
      </c>
      <c r="I80" s="155">
        <f ca="1">ORÇAMENTO!X80</f>
        <v>127.96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>F</v>
      </c>
      <c r="D81" s="147" t="str">
        <f ca="1">ORÇAMENTO!O81</f>
        <v>1.6.10.</v>
      </c>
      <c r="E81" s="207" t="str">
        <f t="shared" ca="1" si="13"/>
        <v>TORNEIRA CROMADA DE MESA, 1/2 OU 3/4, PARA LAVATÓRIO, PADRÃO POPULAR - FORNECIMENTO E INSTALAÇÃO. AF_01/2020</v>
      </c>
      <c r="F81" s="208" t="str">
        <f t="shared" ca="1" si="14"/>
        <v>UN</v>
      </c>
      <c r="G81" s="152">
        <f ca="1">IF(RegimeExecucao="Global","",ORÇAMENTO!T81)</f>
        <v>5</v>
      </c>
      <c r="H81" s="152">
        <f ca="1">IF(RegimeExecucao="Global","",ORÇAMENTO!W81)</f>
        <v>56.26</v>
      </c>
      <c r="I81" s="155">
        <f ca="1">ORÇAMENTO!X81</f>
        <v>281.3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1.6.11.</v>
      </c>
      <c r="E82" s="207" t="str">
        <f t="shared" ca="1" si="13"/>
        <v>REGISTRO DE GAVETA BRUTO, LATÃO, ROSCÁVEL, 3/4", FORNECIDO E INSTALADO EM RAMAL DE ÁGUA. AF_12/2014</v>
      </c>
      <c r="F82" s="208" t="str">
        <f t="shared" ca="1" si="14"/>
        <v>UN</v>
      </c>
      <c r="G82" s="152">
        <f ca="1">IF(RegimeExecucao="Global","",ORÇAMENTO!T82)</f>
        <v>4</v>
      </c>
      <c r="H82" s="152">
        <f ca="1">IF(RegimeExecucao="Global","",ORÇAMENTO!W82)</f>
        <v>40.36</v>
      </c>
      <c r="I82" s="155">
        <f ca="1">ORÇAMENTO!X82</f>
        <v>161.44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>F</v>
      </c>
      <c r="D83" s="147" t="str">
        <f ca="1">ORÇAMENTO!O83</f>
        <v>1.6.12.</v>
      </c>
      <c r="E83" s="207" t="str">
        <f t="shared" ca="1" si="13"/>
        <v>RALO SIFONADO, PVC, DN 100 X 40 MM, JUNTA SOLDÁVEL, FORNECIDO E INSTALADO EM RAMAL DE DESCARGA OU EM RAMAL DE ESGOTO SANITÁRIO. AF_12/2014</v>
      </c>
      <c r="F83" s="208" t="str">
        <f t="shared" ca="1" si="14"/>
        <v>UN</v>
      </c>
      <c r="G83" s="152">
        <f ca="1">IF(RegimeExecucao="Global","",ORÇAMENTO!T83)</f>
        <v>2</v>
      </c>
      <c r="H83" s="152">
        <f ca="1">IF(RegimeExecucao="Global","",ORÇAMENTO!W83)</f>
        <v>12.48</v>
      </c>
      <c r="I83" s="155">
        <f ca="1">ORÇAMENTO!X83</f>
        <v>24.96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>F</v>
      </c>
      <c r="D84" s="147" t="str">
        <f ca="1">ORÇAMENTO!O84</f>
        <v>1.6.13.</v>
      </c>
      <c r="E84" s="207" t="str">
        <f t="shared" ca="1" si="13"/>
        <v>CHUVEIRO COMUM EM PLASTICO BRANCO, COM CANO, 3 TEMPERATURAS, 5500 W (110/220 V)</v>
      </c>
      <c r="F84" s="208" t="str">
        <f t="shared" ca="1" si="14"/>
        <v xml:space="preserve">UN    </v>
      </c>
      <c r="G84" s="152">
        <f ca="1">IF(RegimeExecucao="Global","",ORÇAMENTO!T84)</f>
        <v>1</v>
      </c>
      <c r="H84" s="152">
        <f ca="1">IF(RegimeExecucao="Global","",ORÇAMENTO!W84)</f>
        <v>72.459999999999994</v>
      </c>
      <c r="I84" s="155">
        <f ca="1">ORÇAMENTO!X84</f>
        <v>72.459999999999994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>F</v>
      </c>
      <c r="D85" s="147" t="str">
        <f ca="1">ORÇAMENTO!O85</f>
        <v>1.6.14.</v>
      </c>
      <c r="E85" s="207" t="str">
        <f t="shared" ca="1" si="13"/>
        <v>SABONETEIRA PLASTICA TIPO DISPENSER PARA SABONETE LIQUIDO COM RESERVATORIO 800 A 1500 ML</v>
      </c>
      <c r="F85" s="208" t="str">
        <f t="shared" ca="1" si="14"/>
        <v xml:space="preserve">UN    </v>
      </c>
      <c r="G85" s="152">
        <f ca="1">IF(RegimeExecucao="Global","",ORÇAMENTO!T85)</f>
        <v>1</v>
      </c>
      <c r="H85" s="152">
        <f ca="1">IF(RegimeExecucao="Global","",ORÇAMENTO!W85)</f>
        <v>38.08</v>
      </c>
      <c r="I85" s="155">
        <f ca="1">ORÇAMENTO!X85</f>
        <v>38.08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>F</v>
      </c>
      <c r="D86" s="147" t="str">
        <f ca="1">ORÇAMENTO!O86</f>
        <v>1.6.15.</v>
      </c>
      <c r="E86" s="207" t="str">
        <f t="shared" ca="1" si="13"/>
        <v>CAIXA D'AGUA EM POLIETILENO 500 LITROS, COM TAMPA</v>
      </c>
      <c r="F86" s="208" t="str">
        <f t="shared" ca="1" si="14"/>
        <v xml:space="preserve">UN    </v>
      </c>
      <c r="G86" s="152">
        <f ca="1">IF(RegimeExecucao="Global","",ORÇAMENTO!T86)</f>
        <v>1</v>
      </c>
      <c r="H86" s="152">
        <f ca="1">IF(RegimeExecucao="Global","",ORÇAMENTO!W86)</f>
        <v>250.87</v>
      </c>
      <c r="I86" s="155">
        <f ca="1">ORÇAMENTO!X86</f>
        <v>250.87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>F</v>
      </c>
      <c r="D87" s="147" t="str">
        <f ca="1">ORÇAMENTO!O87</f>
        <v>1.6.16.</v>
      </c>
      <c r="E87" s="207" t="str">
        <f t="shared" ca="1" si="13"/>
        <v>LAVATORIO LOUCA BRANCA COM COLUNA *44 X 35,5* CM</v>
      </c>
      <c r="F87" s="208" t="str">
        <f t="shared" ca="1" si="14"/>
        <v xml:space="preserve">UN    </v>
      </c>
      <c r="G87" s="152">
        <f ca="1">IF(RegimeExecucao="Global","",ORÇAMENTO!T87)</f>
        <v>1</v>
      </c>
      <c r="H87" s="152">
        <f ca="1">IF(RegimeExecucao="Global","",ORÇAMENTO!W87)</f>
        <v>172.72</v>
      </c>
      <c r="I87" s="155">
        <f ca="1">ORÇAMENTO!X87</f>
        <v>172.72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>F</v>
      </c>
      <c r="D88" s="147" t="str">
        <f ca="1">ORÇAMENTO!O88</f>
        <v>1.6.17.</v>
      </c>
      <c r="E88" s="207" t="str">
        <f t="shared" ca="1" si="13"/>
        <v>TANQUE SIMPLES EM MARMORE SINTETICO SUSPENSO, CAPACIDADE *38* L, *60 X 60* CM</v>
      </c>
      <c r="F88" s="208" t="str">
        <f t="shared" ca="1" si="14"/>
        <v xml:space="preserve">UN    </v>
      </c>
      <c r="G88" s="152">
        <f ca="1">IF(RegimeExecucao="Global","",ORÇAMENTO!T88)</f>
        <v>2</v>
      </c>
      <c r="H88" s="152">
        <f ca="1">IF(RegimeExecucao="Global","",ORÇAMENTO!W88)</f>
        <v>219.53</v>
      </c>
      <c r="I88" s="155">
        <f ca="1">ORÇAMENTO!X88</f>
        <v>439.06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>
        <f ca="1">ORÇAMENTO!C91</f>
        <v>1</v>
      </c>
      <c r="B91">
        <f ca="1">ORÇAMENTO!D91</f>
        <v>57</v>
      </c>
      <c r="C91" s="144" t="str">
        <f t="shared" ca="1" si="12"/>
        <v>F</v>
      </c>
      <c r="D91" s="147" t="str">
        <f ca="1">ORÇAMENTO!O91</f>
        <v>2.</v>
      </c>
      <c r="E91" s="207" t="str">
        <f t="shared" ca="1" si="13"/>
        <v>(SALA DE AULA)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60698.32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>
        <f ca="1">ORÇAMENTO!C92</f>
        <v>2</v>
      </c>
      <c r="B92">
        <f ca="1">ORÇAMENTO!D92</f>
        <v>9</v>
      </c>
      <c r="C92" s="144" t="str">
        <f t="shared" ca="1" si="12"/>
        <v>F</v>
      </c>
      <c r="D92" s="147" t="str">
        <f ca="1">ORÇAMENTO!O92</f>
        <v>2.1.</v>
      </c>
      <c r="E92" s="207" t="str">
        <f t="shared" ca="1" si="13"/>
        <v>(FUNDAÇÕES RASAS , VIGAS , PILARES, VIGAS BALDRAME)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14379.51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>F</v>
      </c>
      <c r="D93" s="147" t="str">
        <f ca="1">ORÇAMENTO!O93</f>
        <v>2.1.1.</v>
      </c>
      <c r="E93" s="207" t="str">
        <f t="shared" ca="1" si="13"/>
        <v>TABUA DE MADEIRA NAO APARELHADA *2,5 X 30* CM, CEDRINHO OU EQUIVALENTE DA REGIAO</v>
      </c>
      <c r="F93" s="208" t="str">
        <f t="shared" ca="1" si="14"/>
        <v xml:space="preserve">M     </v>
      </c>
      <c r="G93" s="152">
        <f ca="1">IF(RegimeExecucao="Global","",ORÇAMENTO!T93)</f>
        <v>112</v>
      </c>
      <c r="H93" s="152">
        <f ca="1">IF(RegimeExecucao="Global","",ORÇAMENTO!W93)</f>
        <v>15.61</v>
      </c>
      <c r="I93" s="155">
        <f ca="1">ORÇAMENTO!X93</f>
        <v>1748.32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>F</v>
      </c>
      <c r="D94" s="147" t="str">
        <f ca="1">ORÇAMENTO!O94</f>
        <v>2.1.2.</v>
      </c>
      <c r="E94" s="207" t="str">
        <f t="shared" ca="1" si="13"/>
        <v>LASTRO COM MATERIAL GRANULAR, APLICAÇÃO EM PISOS OU RADIERS, ESPESSURA DE *5 CM*. AF_08/2017</v>
      </c>
      <c r="F94" s="208" t="str">
        <f t="shared" ca="1" si="14"/>
        <v>M3</v>
      </c>
      <c r="G94" s="152">
        <f ca="1">IF(RegimeExecucao="Global","",ORÇAMENTO!T94)</f>
        <v>4.8</v>
      </c>
      <c r="H94" s="152">
        <f ca="1">IF(RegimeExecucao="Global","",ORÇAMENTO!W94)</f>
        <v>108.43</v>
      </c>
      <c r="I94" s="155">
        <f ca="1">ORÇAMENTO!X94</f>
        <v>520.46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>F</v>
      </c>
      <c r="D95" s="147" t="str">
        <f ca="1">ORÇAMENTO!O95</f>
        <v>2.1.3.</v>
      </c>
      <c r="E95" s="207" t="str">
        <f t="shared" ca="1" si="13"/>
        <v>ALVENARIA DE VEDAÇÃO DE BLOCOS CERÂMICOS FURADOS NA HORIZONTAL DE 9X14X19CM (ESPESSURA 9CM) DE PAREDES COM ÁREA LÍQUIDA MAIOR OU IGUAL A 6M² SEM VÃOS E ARGAMASSA DE ASSENTAMENTO COM PREPARO EM BETONEIRA. AF_06/2014</v>
      </c>
      <c r="F95" s="208" t="str">
        <f t="shared" ca="1" si="14"/>
        <v>M2</v>
      </c>
      <c r="G95" s="152">
        <f ca="1">IF(RegimeExecucao="Global","",ORÇAMENTO!T95)</f>
        <v>76.56</v>
      </c>
      <c r="H95" s="152">
        <f ca="1">IF(RegimeExecucao="Global","",ORÇAMENTO!W95)</f>
        <v>65.989999999999995</v>
      </c>
      <c r="I95" s="155">
        <f ca="1">ORÇAMENTO!X95</f>
        <v>5052.1899999999996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>F</v>
      </c>
      <c r="D96" s="147" t="str">
        <f ca="1">ORÇAMENTO!O96</f>
        <v>2.1.4.</v>
      </c>
      <c r="E96" s="207" t="str">
        <f t="shared" ca="1" si="13"/>
        <v>ESCAVACAO MECANICA CAMPO ABERTO EM SOLO EXCETO ROCHA ATE 2,00M PROFUNDIDADE</v>
      </c>
      <c r="F96" s="208" t="str">
        <f t="shared" ca="1" si="14"/>
        <v>M3</v>
      </c>
      <c r="G96" s="152">
        <f ca="1">IF(RegimeExecucao="Global","",ORÇAMENTO!T96)</f>
        <v>1.29</v>
      </c>
      <c r="H96" s="152">
        <f ca="1">IF(RegimeExecucao="Global","",ORÇAMENTO!W96)</f>
        <v>2.5</v>
      </c>
      <c r="I96" s="155">
        <f ca="1">ORÇAMENTO!X96</f>
        <v>3.23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>F</v>
      </c>
      <c r="D97" s="147" t="str">
        <f ca="1">ORÇAMENTO!O97</f>
        <v>2.1.5.</v>
      </c>
      <c r="E97" s="207" t="str">
        <f t="shared" ca="1" si="13"/>
        <v>CONCRETO FCK = 20MPA, TRAÇO 1:2,7:3 (CIMENTO/ AREIA MÉDIA/ BRITA 1)  - PREPARO MECÂNICO COM BETONEIRA 400 L. AF_07/2016</v>
      </c>
      <c r="F97" s="208" t="str">
        <f t="shared" ca="1" si="14"/>
        <v>M3</v>
      </c>
      <c r="G97" s="152">
        <f ca="1">IF(RegimeExecucao="Global","",ORÇAMENTO!T97)</f>
        <v>4.3099999999999996</v>
      </c>
      <c r="H97" s="152">
        <f ca="1">IF(RegimeExecucao="Global","",ORÇAMENTO!W97)</f>
        <v>365.07</v>
      </c>
      <c r="I97" s="155">
        <f ca="1">ORÇAMENTO!X97</f>
        <v>1573.45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>F</v>
      </c>
      <c r="D98" s="147" t="str">
        <f ca="1">ORÇAMENTO!O98</f>
        <v>2.1.6.</v>
      </c>
      <c r="E98" s="207" t="str">
        <f t="shared" ca="1" si="13"/>
        <v>ARMAÇÃO DE PILAR OU VIGA DE UMA ESTRUTURA CONVENCIONAL DE CONCRETO ARMADO EM UM EDIFÍCIO DE MÚLTIPLOS PAVIMENTOS UTILIZANDO AÇO CA-50 DE 6,3 MM - MONTAGEM. AF_12/2015</v>
      </c>
      <c r="F98" s="208" t="str">
        <f t="shared" ca="1" si="14"/>
        <v>KG</v>
      </c>
      <c r="G98" s="152">
        <f ca="1">IF(RegimeExecucao="Global","",ORÇAMENTO!T98)</f>
        <v>166.14</v>
      </c>
      <c r="H98" s="152">
        <f ca="1">IF(RegimeExecucao="Global","",ORÇAMENTO!W98)</f>
        <v>11.74</v>
      </c>
      <c r="I98" s="155">
        <f ca="1">ORÇAMENTO!X98</f>
        <v>1950.48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>F</v>
      </c>
      <c r="D99" s="147" t="str">
        <f ca="1">ORÇAMENTO!O99</f>
        <v>2.1.7.</v>
      </c>
      <c r="E99" s="207" t="str">
        <f t="shared" ca="1" si="13"/>
        <v>ARMAÇÃO DE PILAR OU VIGA DE UMA ESTRUTURA CONVENCIONAL DE CONCRETO ARMADO EM UM EDIFÍCIO DE MÚLTIPLOS PAVIMENTOS UTILIZANDO AÇO CA-50 DE 10,0 MM - MONTAGEM. AF_12/2015</v>
      </c>
      <c r="F99" s="208" t="str">
        <f t="shared" ca="1" si="14"/>
        <v>KG</v>
      </c>
      <c r="G99" s="152">
        <f ca="1">IF(RegimeExecucao="Global","",ORÇAMENTO!T99)</f>
        <v>379.31</v>
      </c>
      <c r="H99" s="152">
        <f ca="1">IF(RegimeExecucao="Global","",ORÇAMENTO!W99)</f>
        <v>9.31</v>
      </c>
      <c r="I99" s="155">
        <f ca="1">ORÇAMENTO!X99</f>
        <v>3531.38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>
        <f ca="1">ORÇAMENTO!C101</f>
        <v>2</v>
      </c>
      <c r="B101">
        <f ca="1">ORÇAMENTO!D101</f>
        <v>7</v>
      </c>
      <c r="C101" s="144" t="str">
        <f t="shared" ca="1" si="12"/>
        <v>F</v>
      </c>
      <c r="D101" s="147" t="str">
        <f ca="1">ORÇAMENTO!O101</f>
        <v>2.2.</v>
      </c>
      <c r="E101" s="207" t="str">
        <f t="shared" ca="1" si="13"/>
        <v>(COBERTURAS / ESTRUTURA METALICA)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13063.01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>F</v>
      </c>
      <c r="D102" s="147" t="str">
        <f ca="1">ORÇAMENTO!O102</f>
        <v>2.2.1.</v>
      </c>
      <c r="E102" s="207" t="str">
        <f t="shared" ca="1" si="13"/>
        <v>TABEIRA (espelho) DE MADEIRA DE 2,50CMX20CM, APARELHADA PARA BEIRAL</v>
      </c>
      <c r="F102" s="208" t="str">
        <f t="shared" ca="1" si="14"/>
        <v>M</v>
      </c>
      <c r="G102" s="152">
        <f ca="1">IF(RegimeExecucao="Global","",ORÇAMENTO!T102)</f>
        <v>30.8</v>
      </c>
      <c r="H102" s="152">
        <f ca="1">IF(RegimeExecucao="Global","",ORÇAMENTO!W102)</f>
        <v>18.079999999999998</v>
      </c>
      <c r="I102" s="155">
        <f ca="1">ORÇAMENTO!X102</f>
        <v>556.86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>F</v>
      </c>
      <c r="D103" s="147" t="str">
        <f ca="1">ORÇAMENTO!O103</f>
        <v>2.2.2.</v>
      </c>
      <c r="E103" s="207" t="str">
        <f t="shared" ca="1" si="13"/>
        <v>CALHA EM CHAPA DE AÇO GALVANIZADO NÚMERO 24, DESENVOLVIMENTO DE 33 CM, INCLUSO TRANSPORTE VERTICAL. AF_07/2019</v>
      </c>
      <c r="F103" s="208" t="str">
        <f t="shared" ca="1" si="14"/>
        <v>M</v>
      </c>
      <c r="G103" s="152">
        <f ca="1">IF(RegimeExecucao="Global","",ORÇAMENTO!T103)</f>
        <v>19.079999999999998</v>
      </c>
      <c r="H103" s="152">
        <f ca="1">IF(RegimeExecucao="Global","",ORÇAMENTO!W103)</f>
        <v>53.67</v>
      </c>
      <c r="I103" s="155">
        <f ca="1">ORÇAMENTO!X103</f>
        <v>1024.02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>F</v>
      </c>
      <c r="D104" s="147" t="str">
        <f ca="1">ORÇAMENTO!O104</f>
        <v>2.2.3.</v>
      </c>
      <c r="E104" s="207" t="str">
        <f t="shared" ca="1" si="13"/>
        <v>FORRO DE PVC LISO, BRANCO, REGUA DE 10 CM, ESPESSURA DE 8 MM A 10 MM (COM COLOCACAO / SEM ESTRUTURA METALICA)</v>
      </c>
      <c r="F104" s="208" t="str">
        <f t="shared" ca="1" si="14"/>
        <v xml:space="preserve">M2    </v>
      </c>
      <c r="G104" s="152">
        <f ca="1">IF(RegimeExecucao="Global","",ORÇAMENTO!T104)</f>
        <v>73.45</v>
      </c>
      <c r="H104" s="152">
        <f ca="1">IF(RegimeExecucao="Global","",ORÇAMENTO!W104)</f>
        <v>50.77</v>
      </c>
      <c r="I104" s="155">
        <f ca="1">ORÇAMENTO!X104</f>
        <v>3729.06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>F</v>
      </c>
      <c r="D105" s="147" t="str">
        <f ca="1">ORÇAMENTO!O105</f>
        <v>2.2.4.</v>
      </c>
      <c r="E105" s="207" t="str">
        <f t="shared" ca="1" si="13"/>
        <v>FABRICAÇÃO E INSTALAÇÃO DE TESOURA INTEIRA EM AÇO, VÃO DE 6 M, PARA TELHA CERÂMICA OU DE CONCRETO, INCLUSO IÇAMENTO. AF_12/2015</v>
      </c>
      <c r="F105" s="208" t="str">
        <f t="shared" ca="1" si="14"/>
        <v>UN</v>
      </c>
      <c r="G105" s="152">
        <f ca="1">IF(RegimeExecucao="Global","",ORÇAMENTO!T105)</f>
        <v>4</v>
      </c>
      <c r="H105" s="152">
        <f ca="1">IF(RegimeExecucao="Global","",ORÇAMENTO!W105)</f>
        <v>1085.6500000000001</v>
      </c>
      <c r="I105" s="155">
        <f ca="1">ORÇAMENTO!X105</f>
        <v>4342.6000000000004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>F</v>
      </c>
      <c r="D106" s="147" t="str">
        <f ca="1">ORÇAMENTO!O106</f>
        <v>2.2.5.</v>
      </c>
      <c r="E106" s="207" t="str">
        <f t="shared" ca="1" si="13"/>
        <v>TELHAMENTO COM TELHA ONDULADA DE FIBROCIMENTO E = 6 MM, COM RECOBRIMENTO LATERAL DE 1 1/4 DE ONDA PARA TELHADO COM INCLINAÇÃO MÁXIMA DE 10°, COM ATÉ 2 ÁGUAS, INCLUSO IÇAMENTO. AF_07/2019</v>
      </c>
      <c r="F106" s="208" t="str">
        <f t="shared" ca="1" si="14"/>
        <v>M2</v>
      </c>
      <c r="G106" s="152">
        <f ca="1">IF(RegimeExecucao="Global","",ORÇAMENTO!T106)</f>
        <v>75.650000000000006</v>
      </c>
      <c r="H106" s="152">
        <f ca="1">IF(RegimeExecucao="Global","",ORÇAMENTO!W106)</f>
        <v>43.26</v>
      </c>
      <c r="I106" s="155">
        <f ca="1">ORÇAMENTO!X106</f>
        <v>3272.62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>F</v>
      </c>
      <c r="D107" s="147" t="str">
        <f ca="1">ORÇAMENTO!O107</f>
        <v>2.2.6.</v>
      </c>
      <c r="E107" s="207" t="str">
        <f t="shared" ca="1" si="13"/>
        <v>CUMEEIRA ARTICULADA (ABA INTERNA INFERIOR OU EXTERNA SUPERIOR) PARA TELHA ESTRUTURAL DE FIBROCIMENTO, 1 ABA, E = 6 MM (SEM AMIANTO)</v>
      </c>
      <c r="F107" s="208" t="str">
        <f t="shared" ca="1" si="14"/>
        <v xml:space="preserve">UN    </v>
      </c>
      <c r="G107" s="152">
        <f ca="1">IF(RegimeExecucao="Global","",ORÇAMENTO!T107)</f>
        <v>9.64</v>
      </c>
      <c r="H107" s="152">
        <f ca="1">IF(RegimeExecucao="Global","",ORÇAMENTO!W107)</f>
        <v>14.3</v>
      </c>
      <c r="I107" s="155">
        <f ca="1">ORÇAMENTO!X107</f>
        <v>137.85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>
        <f ca="1">ORÇAMENTO!C108</f>
        <v>2</v>
      </c>
      <c r="B108">
        <f ca="1">ORÇAMENTO!D108</f>
        <v>12</v>
      </c>
      <c r="C108" s="144" t="str">
        <f t="shared" ca="1" si="12"/>
        <v>F</v>
      </c>
      <c r="D108" s="147" t="str">
        <f ca="1">ORÇAMENTO!O108</f>
        <v>2.3.</v>
      </c>
      <c r="E108" s="207" t="str">
        <f t="shared" ca="1" si="13"/>
        <v>(REVESTIMENTOS)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16156.13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>F</v>
      </c>
      <c r="D109" s="147" t="str">
        <f ca="1">ORÇAMENTO!O109</f>
        <v>2.3.1.</v>
      </c>
      <c r="E109" s="207" t="str">
        <f t="shared" ca="1" si="13"/>
        <v>CONTRAPISO EM ARGAMASSA TRAÇO 1:4 (CIMENTO E AREIA), PREPARO MECÂNICO COM BETONEIRA 400 L, APLICADO EM ÁREAS SECAS SOBRE LAJE, NÃO ADERIDO, ESPESSURA 6CM. AF_06/2014</v>
      </c>
      <c r="F109" s="208" t="str">
        <f t="shared" ca="1" si="14"/>
        <v>M2</v>
      </c>
      <c r="G109" s="152">
        <f ca="1">IF(RegimeExecucao="Global","",ORÇAMENTO!T109)</f>
        <v>48</v>
      </c>
      <c r="H109" s="152">
        <f ca="1">IF(RegimeExecucao="Global","",ORÇAMENTO!W109)</f>
        <v>45.77</v>
      </c>
      <c r="I109" s="155">
        <f ca="1">ORÇAMENTO!X109</f>
        <v>2196.96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>F</v>
      </c>
      <c r="D110" s="147" t="str">
        <f ca="1">ORÇAMENTO!O110</f>
        <v>2.3.2.</v>
      </c>
      <c r="E110" s="207" t="str">
        <f t="shared" ca="1" si="13"/>
        <v>CHAPISCO APLICADO SOMENTE EM ESTRUTURAS DE CONCRETO EM ALVENARIAS INTERNAS, COM DESEMPENADEIRA DENTADA. ARGAMASSA INDUSTRIALIZADA COM PREPARO MANUAL. AF_06/2014</v>
      </c>
      <c r="F110" s="208" t="str">
        <f t="shared" ca="1" si="14"/>
        <v>M2</v>
      </c>
      <c r="G110" s="152">
        <f ca="1">IF(RegimeExecucao="Global","",ORÇAMENTO!T110)</f>
        <v>68.56</v>
      </c>
      <c r="H110" s="152">
        <f ca="1">IF(RegimeExecucao="Global","",ORÇAMENTO!W110)</f>
        <v>18.34</v>
      </c>
      <c r="I110" s="155">
        <f ca="1">ORÇAMENTO!X110</f>
        <v>1257.3900000000001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>F</v>
      </c>
      <c r="D111" s="147" t="str">
        <f ca="1">ORÇAMENTO!O111</f>
        <v>2.3.3.</v>
      </c>
      <c r="E111" s="207" t="str">
        <f t="shared" ca="1" si="13"/>
        <v>CHAPISCO APLICADO EM ALVENARIA (SEM PRESENÇA DE VÃOS) E ESTRUTURAS DE CONCRETO DE FACHADA, COM ROLO PARA TEXTURA ACRÍLICA.  ARGAMASSA TRAÇO 1:4 E EMULSÃO POLIMÉRICA (ADESIVO) COM PREPARO MANUAL. AF_06/2014</v>
      </c>
      <c r="F111" s="208" t="str">
        <f t="shared" ca="1" si="14"/>
        <v>M2</v>
      </c>
      <c r="G111" s="152">
        <f ca="1">IF(RegimeExecucao="Global","",ORÇAMENTO!T111)</f>
        <v>76.56</v>
      </c>
      <c r="H111" s="152">
        <f ca="1">IF(RegimeExecucao="Global","",ORÇAMENTO!W111)</f>
        <v>6.1</v>
      </c>
      <c r="I111" s="155">
        <f ca="1">ORÇAMENTO!X111</f>
        <v>467.02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>F</v>
      </c>
      <c r="D112" s="147" t="str">
        <f ca="1">ORÇAMENTO!O112</f>
        <v>2.3.4.</v>
      </c>
      <c r="E112" s="207" t="str">
        <f t="shared" ca="1" si="13"/>
        <v>EMBOÇO, PARA RECEBIMENTO DE CERÂMICA, EM ARGAMASSA TRAÇO 1:2:8, PREPARO MANUAL, APLICADO MANUALMENTE EM FACES INTERNAS DE PAREDES, PARA AMBIENTE COM ÁREA  ENTRE 5M2 E 10M2, ESPESSURA DE 20MM, COM EXECUÇÃO DE TALISCAS. AF_06/2014</v>
      </c>
      <c r="F112" s="208" t="str">
        <f t="shared" ca="1" si="14"/>
        <v>M2</v>
      </c>
      <c r="G112" s="152">
        <f ca="1">IF(RegimeExecucao="Global","",ORÇAMENTO!T112)</f>
        <v>68.56</v>
      </c>
      <c r="H112" s="152">
        <f ca="1">IF(RegimeExecucao="Global","",ORÇAMENTO!W112)</f>
        <v>34.75</v>
      </c>
      <c r="I112" s="155">
        <f ca="1">ORÇAMENTO!X112</f>
        <v>2382.46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>F</v>
      </c>
      <c r="D113" s="147" t="str">
        <f ca="1">ORÇAMENTO!O113</f>
        <v>2.3.5.</v>
      </c>
      <c r="E113" s="207" t="str">
        <f t="shared" ca="1" si="13"/>
        <v>EMBOÇO OU MASSA ÚNICA EM ARGAMASSA TRAÇO 1:2:8, PREPARO MANUAL, APLICADA MANUALMENTE EM PANOS DE FACHADA COM PRESENÇA DE VÃOS, ESPESSURA DE 25 MM. AF_06/2014</v>
      </c>
      <c r="F113" s="208" t="str">
        <f t="shared" ca="1" si="14"/>
        <v>M2</v>
      </c>
      <c r="G113" s="152">
        <f ca="1">IF(RegimeExecucao="Global","",ORÇAMENTO!T113)</f>
        <v>76.56</v>
      </c>
      <c r="H113" s="152">
        <f ca="1">IF(RegimeExecucao="Global","",ORÇAMENTO!W113)</f>
        <v>57.54</v>
      </c>
      <c r="I113" s="155">
        <f ca="1">ORÇAMENTO!X113</f>
        <v>4405.26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>F</v>
      </c>
      <c r="D114" s="147" t="str">
        <f ca="1">ORÇAMENTO!O114</f>
        <v>2.3.6.</v>
      </c>
      <c r="E114" s="207" t="str">
        <f t="shared" ca="1" si="13"/>
        <v>(COMPOSIÇÃO REPRESENTATIVA) DO SERVIÇO DE REVESTIMENTO CERÂMICO PARA PISO COM PLACAS TIPO GRÉS DE DIMENSÕES 35X35 CM, PARA EDIFICAÇÃO HABITACIONAL UNIFAMILIAR (CASA) E EDIFICAÇÃO PÚBLICA PADRÃO. AF_11/2014</v>
      </c>
      <c r="F114" s="208" t="str">
        <f t="shared" ca="1" si="14"/>
        <v>M2</v>
      </c>
      <c r="G114" s="152">
        <f ca="1">IF(RegimeExecucao="Global","",ORÇAMENTO!T114)</f>
        <v>48</v>
      </c>
      <c r="H114" s="152">
        <f ca="1">IF(RegimeExecucao="Global","",ORÇAMENTO!W114)</f>
        <v>38.35</v>
      </c>
      <c r="I114" s="155">
        <f ca="1">ORÇAMENTO!X114</f>
        <v>1840.8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>F</v>
      </c>
      <c r="D115" s="147" t="str">
        <f ca="1">ORÇAMENTO!O115</f>
        <v>2.3.7.</v>
      </c>
      <c r="E115" s="207" t="str">
        <f t="shared" ca="1" si="13"/>
        <v>REJUNTE COLORIDO, CIMENTICIO</v>
      </c>
      <c r="F115" s="208" t="str">
        <f t="shared" ca="1" si="14"/>
        <v xml:space="preserve">KG    </v>
      </c>
      <c r="G115" s="152">
        <f ca="1">IF(RegimeExecucao="Global","",ORÇAMENTO!T115)</f>
        <v>11</v>
      </c>
      <c r="H115" s="152">
        <f ca="1">IF(RegimeExecucao="Global","",ORÇAMENTO!W115)</f>
        <v>3.81</v>
      </c>
      <c r="I115" s="155">
        <f ca="1">ORÇAMENTO!X115</f>
        <v>41.91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>F</v>
      </c>
      <c r="D116" s="147" t="str">
        <f ca="1">ORÇAMENTO!O116</f>
        <v>2.3.8.</v>
      </c>
      <c r="E116" s="207" t="str">
        <f t="shared" ca="1" si="13"/>
        <v>APLICAÇÃO MANUAL DE PINTURA COM TINTA TEXTURIZADA ACRÍLICA EM PANOS CEGOS DE FACHADA (SEM PRESENÇA DE VÃOS) DE EDIFÍCIOS DE MÚLTIPLOS PAVIMENTOS, UMA COR. AF_06/2014</v>
      </c>
      <c r="F116" s="208" t="str">
        <f t="shared" ca="1" si="14"/>
        <v>M2</v>
      </c>
      <c r="G116" s="152">
        <f ca="1">IF(RegimeExecucao="Global","",ORÇAMENTO!T116)</f>
        <v>76.56</v>
      </c>
      <c r="H116" s="152">
        <f ca="1">IF(RegimeExecucao="Global","",ORÇAMENTO!W116)</f>
        <v>16.350000000000001</v>
      </c>
      <c r="I116" s="155">
        <f ca="1">ORÇAMENTO!X116</f>
        <v>1251.76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>F</v>
      </c>
      <c r="D117" s="147" t="str">
        <f ca="1">ORÇAMENTO!O117</f>
        <v>2.3.9.</v>
      </c>
      <c r="E117" s="207" t="str">
        <f t="shared" ca="1" si="13"/>
        <v>APLICAÇÃO MANUAL DE PINTURA COM TINTA TEXTURIZADA ACRÍLICA EM SUPERFÍCIES INTERNAS DA SACADA DE EDIFÍCIOS DE MÚLTIPLOS PAVIMENTOS, UMA COR. AF_06/2014</v>
      </c>
      <c r="F117" s="208" t="str">
        <f t="shared" ca="1" si="14"/>
        <v>M2</v>
      </c>
      <c r="G117" s="152">
        <f ca="1">IF(RegimeExecucao="Global","",ORÇAMENTO!T117)</f>
        <v>68.56</v>
      </c>
      <c r="H117" s="152">
        <f ca="1">IF(RegimeExecucao="Global","",ORÇAMENTO!W117)</f>
        <v>26.55</v>
      </c>
      <c r="I117" s="155">
        <f ca="1">ORÇAMENTO!X117</f>
        <v>1820.27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>F</v>
      </c>
      <c r="D118" s="147" t="str">
        <f ca="1">ORÇAMENTO!O118</f>
        <v>2.3.10.</v>
      </c>
      <c r="E118" s="207" t="str">
        <f t="shared" ca="1" si="13"/>
        <v>SOLEIRA/ PEITORIL EM MARMORE, POLIDO, BRANCO COMUM, L= *15* CM, E=  *2* CM,  CORTE RETO</v>
      </c>
      <c r="F118" s="208" t="str">
        <f t="shared" ca="1" si="14"/>
        <v xml:space="preserve">M     </v>
      </c>
      <c r="G118" s="152">
        <f ca="1">IF(RegimeExecucao="Global","",ORÇAMENTO!T118)</f>
        <v>6</v>
      </c>
      <c r="H118" s="152">
        <f ca="1">IF(RegimeExecucao="Global","",ORÇAMENTO!W118)</f>
        <v>54.89</v>
      </c>
      <c r="I118" s="155">
        <f ca="1">ORÇAMENTO!X118</f>
        <v>329.34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>F</v>
      </c>
      <c r="D119" s="147" t="str">
        <f ca="1">ORÇAMENTO!O119</f>
        <v>2.3.11.</v>
      </c>
      <c r="E119" s="207" t="str">
        <f t="shared" ca="1" si="13"/>
        <v>RODAPÉ CERÂMICO DE 7CM DE ALTURA COM PLACAS TIPO ESMALTADA EXTRA  DE DIMENSÕES 35X35CM. AF_06/2014</v>
      </c>
      <c r="F119" s="208" t="str">
        <f t="shared" ca="1" si="14"/>
        <v>M</v>
      </c>
      <c r="G119" s="152">
        <f ca="1">IF(RegimeExecucao="Global","",ORÇAMENTO!T119)</f>
        <v>28</v>
      </c>
      <c r="H119" s="152">
        <f ca="1">IF(RegimeExecucao="Global","",ORÇAMENTO!W119)</f>
        <v>5.82</v>
      </c>
      <c r="I119" s="155">
        <f ca="1">ORÇAMENTO!X119</f>
        <v>162.96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>
        <f ca="1">ORÇAMENTO!C120</f>
        <v>2</v>
      </c>
      <c r="B120">
        <f ca="1">ORÇAMENTO!D120</f>
        <v>7</v>
      </c>
      <c r="C120" s="144" t="str">
        <f t="shared" ca="1" si="12"/>
        <v>F</v>
      </c>
      <c r="D120" s="147" t="str">
        <f ca="1">ORÇAMENTO!O120</f>
        <v>2.4.</v>
      </c>
      <c r="E120" s="207" t="str">
        <f t="shared" ca="1" si="13"/>
        <v>(ESQUADRIAS METALICAS / PORTAS METALICAS)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9331.4500000000007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>F</v>
      </c>
      <c r="D121" s="147" t="str">
        <f ca="1">ORÇAMENTO!O121</f>
        <v>2.4.1.</v>
      </c>
      <c r="E121" s="207" t="str">
        <f t="shared" ca="1" si="13"/>
        <v>JANELA DE AÇO TIPO BASCULANTE PARA VIDROS, COM BATENTE, FERRAGENS E PINTURA ANTICORROSIVA. EXCLUSIVE VIDROS, ACABAMENTO, ALIZAR E CONTRAMARCO. FORNECIMENTO E INSTALAÇÃO. AF_12/2019</v>
      </c>
      <c r="F121" s="208" t="str">
        <f t="shared" ca="1" si="14"/>
        <v>M2</v>
      </c>
      <c r="G121" s="152">
        <f ca="1">IF(RegimeExecucao="Global","",ORÇAMENTO!T121)</f>
        <v>1.92</v>
      </c>
      <c r="H121" s="152">
        <f ca="1">IF(RegimeExecucao="Global","",ORÇAMENTO!W121)</f>
        <v>1142.76</v>
      </c>
      <c r="I121" s="155">
        <f ca="1">ORÇAMENTO!X121</f>
        <v>2194.1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>F</v>
      </c>
      <c r="D122" s="147" t="str">
        <f ca="1">ORÇAMENTO!O122</f>
        <v>2.4.2.</v>
      </c>
      <c r="E122" s="207" t="str">
        <f t="shared" ca="1" si="13"/>
        <v>JANELA DE CORRER EM ALUMINIO, VENEZIANA, 120  X 150 CM (A X L), 3 FLS (2 VENEZIANAS E 1 VIDRO), SEM BANDEIRA, ACABAMENTO ACET OU BRILHANTE, BATENTE/REQUADRO DE 6 A 14 CM, COM VIDRO, SEM GUARNICAO/ALIZAR</v>
      </c>
      <c r="F122" s="208" t="str">
        <f t="shared" ca="1" si="14"/>
        <v xml:space="preserve">UN    </v>
      </c>
      <c r="G122" s="152">
        <f ca="1">IF(RegimeExecucao="Global","",ORÇAMENTO!T122)</f>
        <v>3</v>
      </c>
      <c r="H122" s="152">
        <f ca="1">IF(RegimeExecucao="Global","",ORÇAMENTO!W122)</f>
        <v>722.33</v>
      </c>
      <c r="I122" s="155">
        <f ca="1">ORÇAMENTO!X122</f>
        <v>2166.9899999999998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>F</v>
      </c>
      <c r="D123" s="147" t="str">
        <f ca="1">ORÇAMENTO!O123</f>
        <v>2.4.3.</v>
      </c>
      <c r="E123" s="207" t="str">
        <f t="shared" ca="1" si="13"/>
        <v>GRADIL EM FERRO FIXADO EM VÃOS DE JANELAS, FORMADO POR BARRAS CHATAS DE 25X4,8 MM. AF_04/2019</v>
      </c>
      <c r="F123" s="208" t="str">
        <f t="shared" ca="1" si="14"/>
        <v>M2</v>
      </c>
      <c r="G123" s="152">
        <f ca="1">IF(RegimeExecucao="Global","",ORÇAMENTO!T123)</f>
        <v>7.32</v>
      </c>
      <c r="H123" s="152">
        <f ca="1">IF(RegimeExecucao="Global","",ORÇAMENTO!W123)</f>
        <v>562.1</v>
      </c>
      <c r="I123" s="155">
        <f ca="1">ORÇAMENTO!X123</f>
        <v>4114.57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>F</v>
      </c>
      <c r="D124" s="147" t="str">
        <f ca="1">ORÇAMENTO!O124</f>
        <v>2.4.4.</v>
      </c>
      <c r="E124" s="207" t="str">
        <f t="shared" ca="1" si="13"/>
        <v>PORTA DE FERRO, DE ABRIR, TIPO GRADE COM CHAPA, COM GUARNIÇÕES. AF_12/2019</v>
      </c>
      <c r="F124" s="208" t="str">
        <f t="shared" ca="1" si="14"/>
        <v>M2</v>
      </c>
      <c r="G124" s="152">
        <f ca="1">IF(RegimeExecucao="Global","",ORÇAMENTO!T124)</f>
        <v>1.68</v>
      </c>
      <c r="H124" s="152">
        <f ca="1">IF(RegimeExecucao="Global","",ORÇAMENTO!W124)</f>
        <v>509.4</v>
      </c>
      <c r="I124" s="155">
        <f ca="1">ORÇAMENTO!X124</f>
        <v>855.79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>
        <f ca="1">ORÇAMENTO!C127</f>
        <v>2</v>
      </c>
      <c r="B127">
        <f ca="1">ORÇAMENTO!D127</f>
        <v>16</v>
      </c>
      <c r="C127" s="144" t="str">
        <f t="shared" ca="1" si="12"/>
        <v>F</v>
      </c>
      <c r="D127" s="147" t="str">
        <f ca="1">ORÇAMENTO!O127</f>
        <v>2.5.</v>
      </c>
      <c r="E127" s="207" t="str">
        <f t="shared" ca="1" si="13"/>
        <v>(INSTALAÇÕES ELÉTRICAS)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3253.15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>F</v>
      </c>
      <c r="D128" s="147" t="str">
        <f ca="1">ORÇAMENTO!O128</f>
        <v>2.5.1.</v>
      </c>
      <c r="E128" s="207" t="str">
        <f t="shared" ca="1" si="13"/>
        <v>FIO DE COBRE, SOLIDO, CLASSE 1, ISOLACAO EM PVC/A, ANTICHAMA BWF-B, 450/750V, SECAO NOMINAL 2,5 MM2</v>
      </c>
      <c r="F128" s="208" t="str">
        <f t="shared" ca="1" si="14"/>
        <v xml:space="preserve">M     </v>
      </c>
      <c r="G128" s="152">
        <f ca="1">IF(RegimeExecucao="Global","",ORÇAMENTO!T128)</f>
        <v>111.4</v>
      </c>
      <c r="H128" s="152">
        <f ca="1">IF(RegimeExecucao="Global","",ORÇAMENTO!W128)</f>
        <v>1.5</v>
      </c>
      <c r="I128" s="155">
        <f ca="1">ORÇAMENTO!X128</f>
        <v>167.1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>F</v>
      </c>
      <c r="D129" s="147" t="str">
        <f ca="1">ORÇAMENTO!O129</f>
        <v>2.5.2.</v>
      </c>
      <c r="E129" s="207" t="str">
        <f t="shared" ca="1" si="13"/>
        <v>FIO DE COBRE, SOLIDO, CLASSE 1, ISOLACAO EM PVC/A, ANTICHAMA BWF-B, 450/750V, SECAO NOMINAL 4 MM2</v>
      </c>
      <c r="F129" s="208" t="str">
        <f t="shared" ca="1" si="14"/>
        <v xml:space="preserve">M     </v>
      </c>
      <c r="G129" s="152">
        <f ca="1">IF(RegimeExecucao="Global","",ORÇAMENTO!T129)</f>
        <v>394</v>
      </c>
      <c r="H129" s="152">
        <f ca="1">IF(RegimeExecucao="Global","",ORÇAMENTO!W129)</f>
        <v>2.57</v>
      </c>
      <c r="I129" s="155">
        <f ca="1">ORÇAMENTO!X129</f>
        <v>1012.58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>F</v>
      </c>
      <c r="D130" s="147" t="str">
        <f ca="1">ORÇAMENTO!O130</f>
        <v>2.5.3.</v>
      </c>
      <c r="E130" s="207" t="str">
        <f t="shared" ca="1" si="13"/>
        <v>FIO DE COBRE, SOLIDO, CLASSE 1, ISOLACAO EM PVC/A, ANTICHAMA BWF-B, 450/750V, SECAO NOMINAL 6 MM2</v>
      </c>
      <c r="F130" s="208" t="str">
        <f t="shared" ca="1" si="14"/>
        <v xml:space="preserve">M     </v>
      </c>
      <c r="G130" s="152">
        <f ca="1">IF(RegimeExecucao="Global","",ORÇAMENTO!T130)</f>
        <v>40.799999999999997</v>
      </c>
      <c r="H130" s="152">
        <f ca="1">IF(RegimeExecucao="Global","",ORÇAMENTO!W130)</f>
        <v>3.55</v>
      </c>
      <c r="I130" s="155">
        <f ca="1">ORÇAMENTO!X130</f>
        <v>144.84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>F</v>
      </c>
      <c r="D131" s="147" t="str">
        <f ca="1">ORÇAMENTO!O131</f>
        <v>2.5.4.</v>
      </c>
      <c r="E131" s="207" t="str">
        <f t="shared" ca="1" si="13"/>
        <v>INTERRUPTOR SIMPLES + INTERRUPTOR PARALELO 10A, 250V, CONJUNTO MONTADO PARA EMBUTIR 4" X 2" (PLACA + SUPORTE + MODULOS)</v>
      </c>
      <c r="F131" s="208" t="str">
        <f t="shared" ca="1" si="14"/>
        <v xml:space="preserve">UN    </v>
      </c>
      <c r="G131" s="152">
        <f ca="1">IF(RegimeExecucao="Global","",ORÇAMENTO!T131)</f>
        <v>2</v>
      </c>
      <c r="H131" s="152">
        <f ca="1">IF(RegimeExecucao="Global","",ORÇAMENTO!W131)</f>
        <v>19.52</v>
      </c>
      <c r="I131" s="155">
        <f ca="1">ORÇAMENTO!X131</f>
        <v>39.04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>F</v>
      </c>
      <c r="D132" s="147" t="str">
        <f ca="1">ORÇAMENTO!O132</f>
        <v>2.5.5.</v>
      </c>
      <c r="E132" s="207" t="str">
        <f t="shared" ca="1" si="13"/>
        <v>TOMADA 2P+T 20A 250V, CONJUNTO MONTADO PARA EMBUTIR 4" X 2" (PLACA + SUPORTE + MODULO)</v>
      </c>
      <c r="F132" s="208" t="str">
        <f t="shared" ca="1" si="14"/>
        <v xml:space="preserve">UN    </v>
      </c>
      <c r="G132" s="152">
        <f ca="1">IF(RegimeExecucao="Global","",ORÇAMENTO!T132)</f>
        <v>16</v>
      </c>
      <c r="H132" s="152">
        <f ca="1">IF(RegimeExecucao="Global","",ORÇAMENTO!W132)</f>
        <v>19.850000000000001</v>
      </c>
      <c r="I132" s="155">
        <f ca="1">ORÇAMENTO!X132</f>
        <v>317.60000000000002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>F</v>
      </c>
      <c r="D133" s="147" t="str">
        <f ca="1">ORÇAMENTO!O133</f>
        <v>2.5.6.</v>
      </c>
      <c r="E133" s="207" t="str">
        <f t="shared" ca="1" si="13"/>
        <v>TOMADA ALTA DE EMBUTIR (1 MÓDULO), 2P+T 10 A, SEM SUPORTE E SEM PLACA - FORNECIMENTO E INSTALAÇÃO. AF_12/2015</v>
      </c>
      <c r="F133" s="208" t="str">
        <f t="shared" ca="1" si="14"/>
        <v>UN</v>
      </c>
      <c r="G133" s="152">
        <f ca="1">IF(RegimeExecucao="Global","",ORÇAMENTO!T133)</f>
        <v>1</v>
      </c>
      <c r="H133" s="152">
        <f ca="1">IF(RegimeExecucao="Global","",ORÇAMENTO!W133)</f>
        <v>34.97</v>
      </c>
      <c r="I133" s="155">
        <f ca="1">ORÇAMENTO!X133</f>
        <v>34.97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>F</v>
      </c>
      <c r="D134" s="147" t="str">
        <f ca="1">ORÇAMENTO!O134</f>
        <v>2.5.7.</v>
      </c>
      <c r="E134" s="207" t="str">
        <f t="shared" ca="1" si="13"/>
        <v>QUADRO DE DISTRIBUICAO, SEM BARRAMENTO, EM PVC, DE SOBREPOR, PARA 6 DISJUNTORES NEMA OU 8 DISJUNTORES DIN</v>
      </c>
      <c r="F134" s="208" t="str">
        <f t="shared" ca="1" si="14"/>
        <v xml:space="preserve">UN    </v>
      </c>
      <c r="G134" s="152">
        <f ca="1">IF(RegimeExecucao="Global","",ORÇAMENTO!T134)</f>
        <v>1</v>
      </c>
      <c r="H134" s="152">
        <f ca="1">IF(RegimeExecucao="Global","",ORÇAMENTO!W134)</f>
        <v>61.46</v>
      </c>
      <c r="I134" s="155">
        <f ca="1">ORÇAMENTO!X134</f>
        <v>61.46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>F</v>
      </c>
      <c r="D135" s="147" t="str">
        <f ca="1">ORÇAMENTO!O135</f>
        <v>2.5.8.</v>
      </c>
      <c r="E135" s="207" t="str">
        <f t="shared" ca="1" si="13"/>
        <v>SOQUETE DE PORCELANA BASE E27, FIXO DE TETO, PARA LAMPADAS</v>
      </c>
      <c r="F135" s="208" t="str">
        <f t="shared" ca="1" si="14"/>
        <v xml:space="preserve">UN    </v>
      </c>
      <c r="G135" s="152">
        <f ca="1">IF(RegimeExecucao="Global","",ORÇAMENTO!T135)</f>
        <v>9</v>
      </c>
      <c r="H135" s="152">
        <f ca="1">IF(RegimeExecucao="Global","",ORÇAMENTO!W135)</f>
        <v>4.04</v>
      </c>
      <c r="I135" s="155">
        <f ca="1">ORÇAMENTO!X135</f>
        <v>36.36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>F</v>
      </c>
      <c r="D136" s="147" t="str">
        <f ca="1">ORÇAMENTO!O136</f>
        <v>2.5.9.</v>
      </c>
      <c r="E136" s="207" t="str">
        <f t="shared" ca="1" si="13"/>
        <v>LAMPADA FLUORESCENTE ESPIRAL BRANCA 45 W, BASE E27 (127/220 V)</v>
      </c>
      <c r="F136" s="208" t="str">
        <f t="shared" ca="1" si="14"/>
        <v xml:space="preserve">UN    </v>
      </c>
      <c r="G136" s="152">
        <f ca="1">IF(RegimeExecucao="Global","",ORÇAMENTO!T136)</f>
        <v>9</v>
      </c>
      <c r="H136" s="152">
        <f ca="1">IF(RegimeExecucao="Global","",ORÇAMENTO!W136)</f>
        <v>62.48</v>
      </c>
      <c r="I136" s="155">
        <f ca="1">ORÇAMENTO!X136</f>
        <v>562.32000000000005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>F</v>
      </c>
      <c r="D137" s="147" t="str">
        <f ca="1">ORÇAMENTO!O137</f>
        <v>2.5.10.</v>
      </c>
      <c r="E137" s="207" t="str">
        <f t="shared" ca="1" si="13"/>
        <v>ELETRODUTO RÍGIDO ROSCÁVEL, PVC, DN 25 MM (3/4"), PARA CIRCUITOS TERMINAIS, INSTALADO EM FORRO - FORNECIMENTO E INSTALAÇÃO. AF_12/2015</v>
      </c>
      <c r="F137" s="208" t="str">
        <f t="shared" ca="1" si="14"/>
        <v>M</v>
      </c>
      <c r="G137" s="152">
        <f ca="1">IF(RegimeExecucao="Global","",ORÇAMENTO!T137)</f>
        <v>34</v>
      </c>
      <c r="H137" s="152">
        <f ca="1">IF(RegimeExecucao="Global","",ORÇAMENTO!W137)</f>
        <v>10.93</v>
      </c>
      <c r="I137" s="155">
        <f ca="1">ORÇAMENTO!X137</f>
        <v>371.62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>F</v>
      </c>
      <c r="D138" s="147" t="str">
        <f ca="1">ORÇAMENTO!O138</f>
        <v>2.5.11.</v>
      </c>
      <c r="E138" s="207" t="str">
        <f t="shared" ca="1" si="13"/>
        <v>RASGO EM ALVENARIA PARA ELETRODUTOS COM DIAMETROS MENORES OU IGUAIS A 40 MM. AF_05/2015</v>
      </c>
      <c r="F138" s="208" t="str">
        <f t="shared" ca="1" si="14"/>
        <v>M</v>
      </c>
      <c r="G138" s="152">
        <f ca="1">IF(RegimeExecucao="Global","",ORÇAMENTO!T138)</f>
        <v>34</v>
      </c>
      <c r="H138" s="152">
        <f ca="1">IF(RegimeExecucao="Global","",ORÇAMENTO!W138)</f>
        <v>6.93</v>
      </c>
      <c r="I138" s="155">
        <f ca="1">ORÇAMENTO!X138</f>
        <v>235.62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>F</v>
      </c>
      <c r="D139" s="147" t="str">
        <f ca="1">ORÇAMENTO!O139</f>
        <v>2.5.12.</v>
      </c>
      <c r="E139" s="207" t="str">
        <f t="shared" ca="1" si="13"/>
        <v>ELETRODUTO PVC FLEXIVEL CORRUGADO, COR AMARELA, DE 20 MM</v>
      </c>
      <c r="F139" s="208" t="str">
        <f t="shared" ca="1" si="14"/>
        <v xml:space="preserve">M     </v>
      </c>
      <c r="G139" s="152">
        <f ca="1">IF(RegimeExecucao="Global","",ORÇAMENTO!T139)</f>
        <v>58</v>
      </c>
      <c r="H139" s="152">
        <f ca="1">IF(RegimeExecucao="Global","",ORÇAMENTO!W139)</f>
        <v>1.85</v>
      </c>
      <c r="I139" s="155">
        <f ca="1">ORÇAMENTO!X139</f>
        <v>107.3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>F</v>
      </c>
      <c r="D140" s="147" t="str">
        <f ca="1">ORÇAMENTO!O140</f>
        <v>2.5.13.</v>
      </c>
      <c r="E140" s="207" t="str">
        <f t="shared" ca="1" si="13"/>
        <v>DISJUNTOR MONOPOLAR TIPO DIN, CORRENTE NOMINAL DE 25A - FORNECIMENTO E INSTALAÇÃO. AF_04/2016</v>
      </c>
      <c r="F140" s="208" t="str">
        <f t="shared" ca="1" si="14"/>
        <v>UN</v>
      </c>
      <c r="G140" s="152">
        <f ca="1">IF(RegimeExecucao="Global","",ORÇAMENTO!T140)</f>
        <v>6</v>
      </c>
      <c r="H140" s="152">
        <f ca="1">IF(RegimeExecucao="Global","",ORÇAMENTO!W140)</f>
        <v>16.05</v>
      </c>
      <c r="I140" s="155">
        <f ca="1">ORÇAMENTO!X140</f>
        <v>96.3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>F</v>
      </c>
      <c r="D141" s="147" t="str">
        <f ca="1">ORÇAMENTO!O141</f>
        <v>2.5.14.</v>
      </c>
      <c r="E141" s="207" t="str">
        <f t="shared" ca="1" si="13"/>
        <v>DISJUNTOR TIPO DIN/IEC, BIPOLAR DE 6 ATE 32A</v>
      </c>
      <c r="F141" s="208" t="str">
        <f t="shared" ca="1" si="14"/>
        <v xml:space="preserve">UN    </v>
      </c>
      <c r="G141" s="152">
        <f ca="1">IF(RegimeExecucao="Global","",ORÇAMENTO!T141)</f>
        <v>1</v>
      </c>
      <c r="H141" s="152">
        <f ca="1">IF(RegimeExecucao="Global","",ORÇAMENTO!W141)</f>
        <v>66.040000000000006</v>
      </c>
      <c r="I141" s="155">
        <f ca="1">ORÇAMENTO!X141</f>
        <v>66.040000000000006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>
        <f ca="1">ORÇAMENTO!C143</f>
        <v>2</v>
      </c>
      <c r="B143">
        <f ca="1">ORÇAMENTO!D143</f>
        <v>5</v>
      </c>
      <c r="C143" s="144" t="str">
        <f t="shared" ca="1" si="12"/>
        <v>F</v>
      </c>
      <c r="D143" s="147" t="str">
        <f ca="1">ORÇAMENTO!O143</f>
        <v>2.6.</v>
      </c>
      <c r="E143" s="207" t="str">
        <f t="shared" ca="1" si="13"/>
        <v>(COBERTURA ALUZINCO)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4515.07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>F</v>
      </c>
      <c r="D144" s="147" t="str">
        <f ca="1">ORÇAMENTO!O144</f>
        <v>2.6.1.</v>
      </c>
      <c r="E144" s="207" t="str">
        <f t="shared" ref="E144:E207" ca="1" si="24">ORÇAMENTO.Descricao</f>
        <v>TELHAMENTO COM TELHA DE AÇO/ALUMÍNIO E = 0,5 MM, COM ATÉ 2 ÁGUAS, INCLUSO IÇAMENTO. AF_07/2019</v>
      </c>
      <c r="F144" s="208" t="str">
        <f t="shared" ref="F144:F207" ca="1" si="25">IF(RegimeExecucao="Global","",ORÇAMENTO.Unidade)</f>
        <v>M2</v>
      </c>
      <c r="G144" s="152">
        <f ca="1">IF(RegimeExecucao="Global","",ORÇAMENTO!T144)</f>
        <v>29</v>
      </c>
      <c r="H144" s="152">
        <f ca="1">IF(RegimeExecucao="Global","",ORÇAMENTO!W144)</f>
        <v>65.14</v>
      </c>
      <c r="I144" s="155">
        <f ca="1">ORÇAMENTO!X144</f>
        <v>1889.06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>F</v>
      </c>
      <c r="D145" s="147" t="str">
        <f ca="1">ORÇAMENTO!O145</f>
        <v>2.6.2.</v>
      </c>
      <c r="E145" s="207" t="str">
        <f t="shared" ca="1" si="24"/>
        <v>TUBO ACO CARBONO COM COSTURA, NBR 5580, CLASSE L, DN = 40 MM, E = 3,0 MM, 3,34 KG/M</v>
      </c>
      <c r="F145" s="208" t="str">
        <f t="shared" ca="1" si="25"/>
        <v xml:space="preserve">M     </v>
      </c>
      <c r="G145" s="152">
        <f ca="1">IF(RegimeExecucao="Global","",ORÇAMENTO!T145)</f>
        <v>32</v>
      </c>
      <c r="H145" s="152">
        <f ca="1">IF(RegimeExecucao="Global","",ORÇAMENTO!W145)</f>
        <v>19.739999999999998</v>
      </c>
      <c r="I145" s="155">
        <f ca="1">ORÇAMENTO!X145</f>
        <v>631.67999999999995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>F</v>
      </c>
      <c r="D146" s="147" t="str">
        <f ca="1">ORÇAMENTO!O146</f>
        <v>2.6.3.</v>
      </c>
      <c r="E146" s="207" t="str">
        <f t="shared" ca="1" si="24"/>
        <v>ESTRUTURA METÁLICA PARA COBERTURA EM ALUZINCO (PILARES E TESOURA) VÃO 8M, EM VIGA U</v>
      </c>
      <c r="F146" s="208" t="str">
        <f t="shared" ca="1" si="25"/>
        <v>M2</v>
      </c>
      <c r="G146" s="152">
        <f ca="1">IF(RegimeExecucao="Global","",ORÇAMENTO!T146)</f>
        <v>29</v>
      </c>
      <c r="H146" s="152">
        <f ca="1">IF(RegimeExecucao="Global","",ORÇAMENTO!W146)</f>
        <v>68.77</v>
      </c>
      <c r="I146" s="155">
        <f ca="1">ORÇAMENTO!X146</f>
        <v>1994.33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>
        <f ca="1">ORÇAMENTO!C148</f>
        <v>1</v>
      </c>
      <c r="B148">
        <f ca="1">ORÇAMENTO!D148</f>
        <v>74</v>
      </c>
      <c r="C148" s="144" t="str">
        <f t="shared" ca="1" si="23"/>
        <v>F</v>
      </c>
      <c r="D148" s="147" t="str">
        <f ca="1">ORÇAMENTO!O148</f>
        <v>3.</v>
      </c>
      <c r="E148" s="207" t="str">
        <f t="shared" ca="1" si="24"/>
        <v>(COZINHA)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36338.35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>
        <f ca="1">ORÇAMENTO!C149</f>
        <v>2</v>
      </c>
      <c r="B149">
        <f ca="1">ORÇAMENTO!D149</f>
        <v>10</v>
      </c>
      <c r="C149" s="144" t="str">
        <f t="shared" ca="1" si="23"/>
        <v>F</v>
      </c>
      <c r="D149" s="147" t="str">
        <f ca="1">ORÇAMENTO!O149</f>
        <v>3.1.</v>
      </c>
      <c r="E149" s="207" t="str">
        <f t="shared" ca="1" si="24"/>
        <v>(FUNDAÇÕES RASAS, VIGA BALDRAME, PILARES, VIGAS)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3655.4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>F</v>
      </c>
      <c r="D150" s="147" t="str">
        <f ca="1">ORÇAMENTO!O150</f>
        <v>3.1.1.</v>
      </c>
      <c r="E150" s="207" t="str">
        <f t="shared" ca="1" si="24"/>
        <v>TABUA DE MADEIRA NAO APARELHADA *2,5 X 30* CM, CEDRINHO OU EQUIVALENTE DA REGIAO</v>
      </c>
      <c r="F150" s="208" t="str">
        <f t="shared" ca="1" si="25"/>
        <v xml:space="preserve">M     </v>
      </c>
      <c r="G150" s="152">
        <f ca="1">IF(RegimeExecucao="Global","",ORÇAMENTO!T150)</f>
        <v>12</v>
      </c>
      <c r="H150" s="152">
        <f ca="1">IF(RegimeExecucao="Global","",ORÇAMENTO!W150)</f>
        <v>15.61</v>
      </c>
      <c r="I150" s="155">
        <f ca="1">ORÇAMENTO!X150</f>
        <v>187.32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>F</v>
      </c>
      <c r="D151" s="147" t="str">
        <f ca="1">ORÇAMENTO!O151</f>
        <v>3.1.2.</v>
      </c>
      <c r="E151" s="207" t="str">
        <f t="shared" ca="1" si="24"/>
        <v>ALVENARIA DE VEDAÇÃO DE BLOCOS CERÂMICOS FURADOS NA VERTICAL DE 14X19X39CM (ESPESSURA 14CM) DE PAREDES COM ÁREA LÍQUIDA MENOR QUE 6M² SEM VÃOS E ARGAMASSA DE ASSENTAMENTO COM PREPARO EM BETONEIRA. AF_06/2014</v>
      </c>
      <c r="F151" s="208" t="str">
        <f t="shared" ca="1" si="25"/>
        <v>M2</v>
      </c>
      <c r="G151" s="152">
        <f ca="1">IF(RegimeExecucao="Global","",ORÇAMENTO!T151)</f>
        <v>22.54</v>
      </c>
      <c r="H151" s="152">
        <f ca="1">IF(RegimeExecucao="Global","",ORÇAMENTO!W151)</f>
        <v>65.989999999999995</v>
      </c>
      <c r="I151" s="155">
        <f ca="1">ORÇAMENTO!X151</f>
        <v>1487.41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>F</v>
      </c>
      <c r="D152" s="147" t="str">
        <f ca="1">ORÇAMENTO!O152</f>
        <v>3.1.3.</v>
      </c>
      <c r="E152" s="207" t="str">
        <f t="shared" ca="1" si="24"/>
        <v>ESCAVACAO MECANICA CAMPO ABERTO EM SOLO EXCETO ROCHA ATE 2,00M PROFUNDIDADE</v>
      </c>
      <c r="F152" s="208" t="str">
        <f t="shared" ca="1" si="25"/>
        <v>M3</v>
      </c>
      <c r="G152" s="152">
        <f ca="1">IF(RegimeExecucao="Global","",ORÇAMENTO!T152)</f>
        <v>5</v>
      </c>
      <c r="H152" s="152">
        <f ca="1">IF(RegimeExecucao="Global","",ORÇAMENTO!W152)</f>
        <v>2.5</v>
      </c>
      <c r="I152" s="155">
        <f ca="1">ORÇAMENTO!X152</f>
        <v>12.5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>F</v>
      </c>
      <c r="D153" s="147" t="str">
        <f ca="1">ORÇAMENTO!O153</f>
        <v>3.1.4.</v>
      </c>
      <c r="E153" s="207" t="str">
        <f t="shared" ca="1" si="24"/>
        <v>CONCRETO FCK = 20MPA, TRAÇO 1:2,7:3 (CIMENTO/ AREIA MÉDIA/ BRITA 1)  - PREPARO MECÂNICO COM BETONEIRA 400 L. AF_07/2016</v>
      </c>
      <c r="F153" s="208" t="str">
        <f t="shared" ca="1" si="25"/>
        <v>M3</v>
      </c>
      <c r="G153" s="152">
        <f ca="1">IF(RegimeExecucao="Global","",ORÇAMENTO!T153)</f>
        <v>1.26</v>
      </c>
      <c r="H153" s="152">
        <f ca="1">IF(RegimeExecucao="Global","",ORÇAMENTO!W153)</f>
        <v>365.07</v>
      </c>
      <c r="I153" s="155">
        <f ca="1">ORÇAMENTO!X153</f>
        <v>459.99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>F</v>
      </c>
      <c r="D154" s="147" t="str">
        <f ca="1">ORÇAMENTO!O154</f>
        <v>3.1.5.</v>
      </c>
      <c r="E154" s="207" t="str">
        <f t="shared" ca="1" si="24"/>
        <v>DEMOLIÇÃO DE ALVENARIA DE BLOCO FURADO, DE FORMA MANUAL, SEM REAPROVEITAMENTO. AF_12/2017</v>
      </c>
      <c r="F154" s="208" t="str">
        <f t="shared" ca="1" si="25"/>
        <v>M3</v>
      </c>
      <c r="G154" s="152">
        <f ca="1">IF(RegimeExecucao="Global","",ORÇAMENTO!T154)</f>
        <v>1.5</v>
      </c>
      <c r="H154" s="152">
        <f ca="1">IF(RegimeExecucao="Global","",ORÇAMENTO!W154)</f>
        <v>57.59</v>
      </c>
      <c r="I154" s="155">
        <f ca="1">ORÇAMENTO!X154</f>
        <v>86.39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>F</v>
      </c>
      <c r="D155" s="147" t="str">
        <f ca="1">ORÇAMENTO!O155</f>
        <v>3.1.6.</v>
      </c>
      <c r="E155" s="207" t="str">
        <f t="shared" ca="1" si="24"/>
        <v>ARMAÇÃO DE PILAR OU VIGA DE UMA ESTRUTURA CONVENCIONAL DE CONCRETO ARMADO EM UM EDIFÍCIO DE MÚLTIPLOS PAVIMENTOS UTILIZANDO AÇO CA-50 DE 6,3 MM - MONTAGEM. AF_12/2015</v>
      </c>
      <c r="F155" s="208" t="str">
        <f t="shared" ca="1" si="25"/>
        <v>KG</v>
      </c>
      <c r="G155" s="152">
        <f ca="1">IF(RegimeExecucao="Global","",ORÇAMENTO!T155)</f>
        <v>26</v>
      </c>
      <c r="H155" s="152">
        <f ca="1">IF(RegimeExecucao="Global","",ORÇAMENTO!W155)</f>
        <v>11.74</v>
      </c>
      <c r="I155" s="155">
        <f ca="1">ORÇAMENTO!X155</f>
        <v>305.24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>F</v>
      </c>
      <c r="D156" s="147" t="str">
        <f ca="1">ORÇAMENTO!O156</f>
        <v>3.1.7.</v>
      </c>
      <c r="E156" s="207" t="str">
        <f t="shared" ca="1" si="24"/>
        <v>ARMAÇÃO DE PILAR OU VIGA DE UMA ESTRUTURA CONVENCIONAL DE CONCRETO ARMADO EM UM EDIFÍCIO DE MÚLTIPLOS PAVIMENTOS UTILIZANDO AÇO CA-50 DE 10,0 MM - MONTAGEM. AF_12/2015</v>
      </c>
      <c r="F156" s="208" t="str">
        <f t="shared" ca="1" si="25"/>
        <v>KG</v>
      </c>
      <c r="G156" s="152">
        <f ca="1">IF(RegimeExecucao="Global","",ORÇAMENTO!T156)</f>
        <v>119.93</v>
      </c>
      <c r="H156" s="152">
        <f ca="1">IF(RegimeExecucao="Global","",ORÇAMENTO!W156)</f>
        <v>9.31</v>
      </c>
      <c r="I156" s="155">
        <f ca="1">ORÇAMENTO!X156</f>
        <v>1116.55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>
        <f ca="1">ORÇAMENTO!C159</f>
        <v>2</v>
      </c>
      <c r="B159">
        <f ca="1">ORÇAMENTO!D159</f>
        <v>4</v>
      </c>
      <c r="C159" s="144" t="str">
        <f t="shared" ca="1" si="23"/>
        <v>F</v>
      </c>
      <c r="D159" s="147" t="str">
        <f ca="1">ORÇAMENTO!O159</f>
        <v>3.2.</v>
      </c>
      <c r="E159" s="207" t="str">
        <f t="shared" ca="1" si="24"/>
        <v>(COBERTURAS / FORROS)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2693.35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>F</v>
      </c>
      <c r="D160" s="147" t="str">
        <f ca="1">ORÇAMENTO!O160</f>
        <v>3.2.1.</v>
      </c>
      <c r="E160" s="207" t="str">
        <f t="shared" ca="1" si="24"/>
        <v>FORRO DE PVC LISO, BRANCO, REGUA DE 10 CM, ESPESSURA DE 8 MM A 10 MM (COM COLOCACAO / SEM ESTRUTURA METALICA)</v>
      </c>
      <c r="F160" s="208" t="str">
        <f t="shared" ca="1" si="25"/>
        <v xml:space="preserve">M2    </v>
      </c>
      <c r="G160" s="152">
        <f ca="1">IF(RegimeExecucao="Global","",ORÇAMENTO!T160)</f>
        <v>53.05</v>
      </c>
      <c r="H160" s="152">
        <f ca="1">IF(RegimeExecucao="Global","",ORÇAMENTO!W160)</f>
        <v>50.77</v>
      </c>
      <c r="I160" s="155">
        <f ca="1">ORÇAMENTO!X160</f>
        <v>2693.35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>
        <f ca="1">ORÇAMENTO!C163</f>
        <v>2</v>
      </c>
      <c r="B163">
        <f ca="1">ORÇAMENTO!D163</f>
        <v>12</v>
      </c>
      <c r="C163" s="144" t="str">
        <f t="shared" ca="1" si="23"/>
        <v>F</v>
      </c>
      <c r="D163" s="147" t="str">
        <f ca="1">ORÇAMENTO!O163</f>
        <v>3.3.</v>
      </c>
      <c r="E163" s="207" t="str">
        <f t="shared" ca="1" si="24"/>
        <v>(REVESTIMENTOS)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6954.06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>F</v>
      </c>
      <c r="D164" s="147" t="str">
        <f ca="1">ORÇAMENTO!O164</f>
        <v>3.3.1.</v>
      </c>
      <c r="E164" s="207" t="str">
        <f t="shared" ca="1" si="24"/>
        <v>REVESTIMENTO CERÂMICO PARA PAREDES INTERNAS COM PLACAS TIPO ESMALTADA EXTRA DE DIMENSÕES 20X20 CM APLICADAS EM AMBIENTES DE ÁREA MAIOR QUE 5 M² NA ALTURA INTEIRA DAS PAREDES. AF_06/2014</v>
      </c>
      <c r="F164" s="208" t="str">
        <f t="shared" ca="1" si="25"/>
        <v>M2</v>
      </c>
      <c r="G164" s="152">
        <f ca="1">IF(RegimeExecucao="Global","",ORÇAMENTO!T164)</f>
        <v>122.08</v>
      </c>
      <c r="H164" s="152">
        <f ca="1">IF(RegimeExecucao="Global","",ORÇAMENTO!W164)</f>
        <v>47.37</v>
      </c>
      <c r="I164" s="155">
        <f ca="1">ORÇAMENTO!X164</f>
        <v>5782.93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>F</v>
      </c>
      <c r="D167" s="147" t="str">
        <f ca="1">ORÇAMENTO!O167</f>
        <v>3.3.2.</v>
      </c>
      <c r="E167" s="207" t="str">
        <f t="shared" ca="1" si="24"/>
        <v>REJUNTE COLORIDO, CIMENTICIO</v>
      </c>
      <c r="F167" s="208" t="str">
        <f t="shared" ca="1" si="25"/>
        <v xml:space="preserve">KG    </v>
      </c>
      <c r="G167" s="152">
        <f ca="1">IF(RegimeExecucao="Global","",ORÇAMENTO!T167)</f>
        <v>35</v>
      </c>
      <c r="H167" s="152">
        <f ca="1">IF(RegimeExecucao="Global","",ORÇAMENTO!W167)</f>
        <v>3.81</v>
      </c>
      <c r="I167" s="155">
        <f ca="1">ORÇAMENTO!X167</f>
        <v>133.35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>F</v>
      </c>
      <c r="D168" s="147" t="str">
        <f ca="1">ORÇAMENTO!O168</f>
        <v>3.3.3.</v>
      </c>
      <c r="E168" s="207" t="str">
        <f t="shared" ca="1" si="24"/>
        <v>SOLEIRA/ PEITORIL EM MARMORE, POLIDO, BRANCO COMUM, L= *15* CM, E=  *2* CM,  CORTE RETO</v>
      </c>
      <c r="F168" s="208" t="str">
        <f t="shared" ca="1" si="25"/>
        <v xml:space="preserve">M     </v>
      </c>
      <c r="G168" s="152">
        <f ca="1">IF(RegimeExecucao="Global","",ORÇAMENTO!T168)</f>
        <v>2.4</v>
      </c>
      <c r="H168" s="152">
        <f ca="1">IF(RegimeExecucao="Global","",ORÇAMENTO!W168)</f>
        <v>54.89</v>
      </c>
      <c r="I168" s="155">
        <f ca="1">ORÇAMENTO!X168</f>
        <v>131.74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>F</v>
      </c>
      <c r="D169" s="147" t="str">
        <f ca="1">ORÇAMENTO!O169</f>
        <v>3.3.4.</v>
      </c>
      <c r="E169" s="207" t="str">
        <f t="shared" ca="1" si="24"/>
        <v>BANCADA/ BANCA EM MARMORE, POLIDO, BRANCO COMUM, E=  *3* CM</v>
      </c>
      <c r="F169" s="208" t="str">
        <f t="shared" ca="1" si="25"/>
        <v xml:space="preserve">M2    </v>
      </c>
      <c r="G169" s="152">
        <f ca="1">IF(RegimeExecucao="Global","",ORÇAMENTO!T169)</f>
        <v>1.2</v>
      </c>
      <c r="H169" s="152">
        <f ca="1">IF(RegimeExecucao="Global","",ORÇAMENTO!W169)</f>
        <v>371.53</v>
      </c>
      <c r="I169" s="155">
        <f ca="1">ORÇAMENTO!X169</f>
        <v>445.84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>F</v>
      </c>
      <c r="D170" s="147" t="str">
        <f ca="1">ORÇAMENTO!O170</f>
        <v>3.3.5.</v>
      </c>
      <c r="E170" s="207" t="str">
        <f t="shared" ca="1" si="24"/>
        <v>(COMPOSIÇÃO REPRESENTATIVA) DO SERVIÇO DE REVESTIMENTO CERÂMICO PARA PISO COM PLACAS TIPO GRÉS DE DIMENSÕES 35X35 CM, PARA EDIFICAÇÃO HABITACIONAL UNIFAMILIAR (CASA) E EDIFICAÇÃO PÚBLICA PADRÃO. AF_11/2014</v>
      </c>
      <c r="F170" s="208" t="str">
        <f t="shared" ca="1" si="25"/>
        <v>M2</v>
      </c>
      <c r="G170" s="152">
        <f ca="1">IF(RegimeExecucao="Global","",ORÇAMENTO!T170)</f>
        <v>12</v>
      </c>
      <c r="H170" s="152">
        <f ca="1">IF(RegimeExecucao="Global","",ORÇAMENTO!W170)</f>
        <v>38.35</v>
      </c>
      <c r="I170" s="155">
        <f ca="1">ORÇAMENTO!X170</f>
        <v>460.2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>
        <f ca="1">ORÇAMENTO!C175</f>
        <v>2</v>
      </c>
      <c r="B175">
        <f ca="1">ORÇAMENTO!D175</f>
        <v>9</v>
      </c>
      <c r="C175" s="144" t="str">
        <f t="shared" ca="1" si="23"/>
        <v>F</v>
      </c>
      <c r="D175" s="147" t="str">
        <f ca="1">ORÇAMENTO!O175</f>
        <v>3.4.</v>
      </c>
      <c r="E175" s="207" t="str">
        <f t="shared" ca="1" si="24"/>
        <v>(ESQUADRIAS METALICAS , PORTAS , TELAS MILIMETRICAS)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3735.24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>F</v>
      </c>
      <c r="D176" s="147" t="str">
        <f ca="1">ORÇAMENTO!O176</f>
        <v>3.4.1.</v>
      </c>
      <c r="E176" s="207" t="str">
        <f t="shared" ca="1" si="24"/>
        <v>JANELA DE CORRER EM ALUMINIO, VENEZIANA, 120  X 150 CM (A X L), 3 FLS (2 VENEZIANAS E 1 VIDRO), SEM BANDEIRA, ACABAMENTO ACET OU BRILHANTE, BATENTE/REQUADRO DE 6 A 14 CM, COM VIDRO, SEM GUARNICAO/ALIZAR</v>
      </c>
      <c r="F176" s="208" t="str">
        <f t="shared" ca="1" si="25"/>
        <v xml:space="preserve">UN    </v>
      </c>
      <c r="G176" s="152">
        <f ca="1">IF(RegimeExecucao="Global","",ORÇAMENTO!T176)</f>
        <v>2</v>
      </c>
      <c r="H176" s="152">
        <f ca="1">IF(RegimeExecucao="Global","",ORÇAMENTO!W176)</f>
        <v>722.33</v>
      </c>
      <c r="I176" s="155">
        <f ca="1">ORÇAMENTO!X176</f>
        <v>1444.66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>F</v>
      </c>
      <c r="D177" s="147" t="str">
        <f ca="1">ORÇAMENTO!O177</f>
        <v>3.4.2.</v>
      </c>
      <c r="E177" s="207" t="str">
        <f t="shared" ca="1" si="24"/>
        <v>PORTA DE FERRO, DE ABRIR, TIPO GRADE COM CHAPA, COM GUARNIÇÕES. AF_12/2019</v>
      </c>
      <c r="F177" s="208" t="str">
        <f t="shared" ca="1" si="25"/>
        <v>M2</v>
      </c>
      <c r="G177" s="152">
        <f ca="1">IF(RegimeExecucao="Global","",ORÇAMENTO!T177)</f>
        <v>1.68</v>
      </c>
      <c r="H177" s="152">
        <f ca="1">IF(RegimeExecucao="Global","",ORÇAMENTO!W177)</f>
        <v>542.92999999999995</v>
      </c>
      <c r="I177" s="155">
        <f ca="1">ORÇAMENTO!X177</f>
        <v>912.12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>F</v>
      </c>
      <c r="D178" s="147" t="str">
        <f ca="1">ORÇAMENTO!O178</f>
        <v>3.4.3.</v>
      </c>
      <c r="E178" s="207" t="str">
        <f t="shared" ca="1" si="24"/>
        <v>JANELA DE CORRER EM ALUMINIO, 100 X 120 CM (A X L), 2 FLS,  SEM BANDEIRA,  ACABAMENTO ACET OU BRILHANTE, BATENTE/REQUADRO DE 6 A 14 CM, COM VIDRO, SEM GUARNICAO</v>
      </c>
      <c r="F178" s="208" t="str">
        <f t="shared" ca="1" si="25"/>
        <v xml:space="preserve">UN    </v>
      </c>
      <c r="G178" s="152">
        <f ca="1">IF(RegimeExecucao="Global","",ORÇAMENTO!T178)</f>
        <v>1</v>
      </c>
      <c r="H178" s="152">
        <f ca="1">IF(RegimeExecucao="Global","",ORÇAMENTO!W178)</f>
        <v>343.72</v>
      </c>
      <c r="I178" s="155">
        <f ca="1">ORÇAMENTO!X178</f>
        <v>343.72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>F</v>
      </c>
      <c r="D179" s="147" t="str">
        <f ca="1">ORÇAMENTO!O179</f>
        <v>3.4.4.</v>
      </c>
      <c r="E179" s="207" t="str">
        <f t="shared" ca="1" si="24"/>
        <v>PORTA DE MADEIRA PARA PINTURA, SEMI-OCA (LEVE OU MÉDIA), 80X210CM, ESPESSURA DE 3,5CM, INCLUSO DOBRADIÇAS - FORNECIMENTO E INSTALAÇÃO. AF_12/2019</v>
      </c>
      <c r="F179" s="208" t="str">
        <f t="shared" ca="1" si="25"/>
        <v>UN</v>
      </c>
      <c r="G179" s="152">
        <f ca="1">IF(RegimeExecucao="Global","",ORÇAMENTO!T179)</f>
        <v>1</v>
      </c>
      <c r="H179" s="152">
        <f ca="1">IF(RegimeExecucao="Global","",ORÇAMENTO!W179)</f>
        <v>360.22</v>
      </c>
      <c r="I179" s="155">
        <f ca="1">ORÇAMENTO!X179</f>
        <v>360.22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>F</v>
      </c>
      <c r="D180" s="147" t="str">
        <f ca="1">ORÇAMENTO!O180</f>
        <v>3.4.5.</v>
      </c>
      <c r="E180" s="207" t="str">
        <f t="shared" ca="1" si="24"/>
        <v>GRADIL EM FERRO FIXADO EM VÃOS DE JANELAS, FORMADO POR BARRAS CHATAS DE 25X4,8 MM. AF_04/2019</v>
      </c>
      <c r="F180" s="208" t="str">
        <f t="shared" ca="1" si="25"/>
        <v>M2</v>
      </c>
      <c r="G180" s="152">
        <f ca="1">IF(RegimeExecucao="Global","",ORÇAMENTO!T180)</f>
        <v>1.2</v>
      </c>
      <c r="H180" s="152">
        <f ca="1">IF(RegimeExecucao="Global","",ORÇAMENTO!W180)</f>
        <v>562.1</v>
      </c>
      <c r="I180" s="155">
        <f ca="1">ORÇAMENTO!X180</f>
        <v>674.52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>
        <f ca="1">ORÇAMENTO!C184</f>
        <v>2</v>
      </c>
      <c r="B184">
        <f ca="1">ORÇAMENTO!D184</f>
        <v>13</v>
      </c>
      <c r="C184" s="144" t="str">
        <f t="shared" ca="1" si="23"/>
        <v>F</v>
      </c>
      <c r="D184" s="147" t="str">
        <f ca="1">ORÇAMENTO!O184</f>
        <v>3.5.</v>
      </c>
      <c r="E184" s="207" t="str">
        <f t="shared" ca="1" si="24"/>
        <v>(INSTALAÇOES ELETRICAS)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3150.13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>F</v>
      </c>
      <c r="D185" s="147" t="str">
        <f ca="1">ORÇAMENTO!O185</f>
        <v>3.5.1.</v>
      </c>
      <c r="E185" s="207" t="str">
        <f t="shared" ca="1" si="24"/>
        <v>FIO DE COBRE, SOLIDO, CLASSE 1, ISOLACAO EM PVC/A, ANTICHAMA BWF-B, 450/750V, SECAO NOMINAL 2,5 MM2</v>
      </c>
      <c r="F185" s="208" t="str">
        <f t="shared" ca="1" si="25"/>
        <v xml:space="preserve">M     </v>
      </c>
      <c r="G185" s="152">
        <f ca="1">IF(RegimeExecucao="Global","",ORÇAMENTO!T185)</f>
        <v>147.5</v>
      </c>
      <c r="H185" s="152">
        <f ca="1">IF(RegimeExecucao="Global","",ORÇAMENTO!W185)</f>
        <v>1.5</v>
      </c>
      <c r="I185" s="155">
        <f ca="1">ORÇAMENTO!X185</f>
        <v>221.25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>F</v>
      </c>
      <c r="D186" s="147" t="str">
        <f ca="1">ORÇAMENTO!O186</f>
        <v>3.5.2.</v>
      </c>
      <c r="E186" s="207" t="str">
        <f t="shared" ca="1" si="24"/>
        <v>FIO DE COBRE, SOLIDO, CLASSE 1, ISOLACAO EM PVC/A, ANTICHAMA BWF-B, 450/750V, SECAO NOMINAL 4 MM2</v>
      </c>
      <c r="F186" s="208" t="str">
        <f t="shared" ca="1" si="25"/>
        <v xml:space="preserve">M     </v>
      </c>
      <c r="G186" s="152">
        <f ca="1">IF(RegimeExecucao="Global","",ORÇAMENTO!T186)</f>
        <v>437</v>
      </c>
      <c r="H186" s="152">
        <f ca="1">IF(RegimeExecucao="Global","",ORÇAMENTO!W186)</f>
        <v>2.57</v>
      </c>
      <c r="I186" s="155">
        <f ca="1">ORÇAMENTO!X186</f>
        <v>1123.0899999999999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>F</v>
      </c>
      <c r="D187" s="147" t="str">
        <f ca="1">ORÇAMENTO!O187</f>
        <v>3.5.3.</v>
      </c>
      <c r="E187" s="207" t="str">
        <f t="shared" ca="1" si="24"/>
        <v>FIO DE COBRE, SOLIDO, CLASSE 1, ISOLACAO EM PVC/A, ANTICHAMA BWF-B, 450/750V, SECAO NOMINAL 6 MM2</v>
      </c>
      <c r="F187" s="208" t="str">
        <f t="shared" ca="1" si="25"/>
        <v xml:space="preserve">M     </v>
      </c>
      <c r="G187" s="152">
        <f ca="1">IF(RegimeExecucao="Global","",ORÇAMENTO!T187)</f>
        <v>40.799999999999997</v>
      </c>
      <c r="H187" s="152">
        <f ca="1">IF(RegimeExecucao="Global","",ORÇAMENTO!W187)</f>
        <v>3.55</v>
      </c>
      <c r="I187" s="155">
        <f ca="1">ORÇAMENTO!X187</f>
        <v>144.84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>F</v>
      </c>
      <c r="D188" s="147" t="str">
        <f ca="1">ORÇAMENTO!O188</f>
        <v>3.5.4.</v>
      </c>
      <c r="E188" s="207" t="str">
        <f t="shared" ca="1" si="24"/>
        <v>INTERRUPTOR SIMPLES + INTERRUPTOR PARALELO 10A, 250V, CONJUNTO MONTADO PARA EMBUTIR 4" X 2" (PLACA + SUPORTE + MODULOS)</v>
      </c>
      <c r="F188" s="208" t="str">
        <f t="shared" ca="1" si="25"/>
        <v xml:space="preserve">UN    </v>
      </c>
      <c r="G188" s="152">
        <f ca="1">IF(RegimeExecucao="Global","",ORÇAMENTO!T188)</f>
        <v>2</v>
      </c>
      <c r="H188" s="152">
        <f ca="1">IF(RegimeExecucao="Global","",ORÇAMENTO!W188)</f>
        <v>19.52</v>
      </c>
      <c r="I188" s="155">
        <f ca="1">ORÇAMENTO!X188</f>
        <v>39.04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>F</v>
      </c>
      <c r="D189" s="147" t="str">
        <f ca="1">ORÇAMENTO!O189</f>
        <v>3.5.5.</v>
      </c>
      <c r="E189" s="207" t="str">
        <f t="shared" ca="1" si="24"/>
        <v>TOMADA 2P+T 20A 250V, CONJUNTO MONTADO PARA EMBUTIR 4" X 2" (PLACA + SUPORTE + MODULO)</v>
      </c>
      <c r="F189" s="208" t="str">
        <f t="shared" ca="1" si="25"/>
        <v xml:space="preserve">UN    </v>
      </c>
      <c r="G189" s="152">
        <f ca="1">IF(RegimeExecucao="Global","",ORÇAMENTO!T189)</f>
        <v>14</v>
      </c>
      <c r="H189" s="152">
        <f ca="1">IF(RegimeExecucao="Global","",ORÇAMENTO!W189)</f>
        <v>19.850000000000001</v>
      </c>
      <c r="I189" s="155">
        <f ca="1">ORÇAMENTO!X189</f>
        <v>277.89999999999998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>F</v>
      </c>
      <c r="D190" s="147" t="str">
        <f ca="1">ORÇAMENTO!O190</f>
        <v>3.5.6.</v>
      </c>
      <c r="E190" s="207" t="str">
        <f t="shared" ca="1" si="24"/>
        <v>QUADRO DE DISTRIBUICAO, SEM BARRAMENTO, EM PVC, DE SOBREPOR, PARA 6 DISJUNTORES NEMA OU 8 DISJUNTORES DIN</v>
      </c>
      <c r="F190" s="208" t="str">
        <f t="shared" ca="1" si="25"/>
        <v xml:space="preserve">UN    </v>
      </c>
      <c r="G190" s="152">
        <f ca="1">IF(RegimeExecucao="Global","",ORÇAMENTO!T190)</f>
        <v>1</v>
      </c>
      <c r="H190" s="152">
        <f ca="1">IF(RegimeExecucao="Global","",ORÇAMENTO!W190)</f>
        <v>61.46</v>
      </c>
      <c r="I190" s="155">
        <f ca="1">ORÇAMENTO!X190</f>
        <v>61.46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>F</v>
      </c>
      <c r="D191" s="147" t="str">
        <f ca="1">ORÇAMENTO!O191</f>
        <v>3.5.7.</v>
      </c>
      <c r="E191" s="207" t="str">
        <f t="shared" ca="1" si="24"/>
        <v>SOQUETE DE PORCELANA BASE E27, FIXO DE TETO, PARA LAMPADAS</v>
      </c>
      <c r="F191" s="208" t="str">
        <f t="shared" ca="1" si="25"/>
        <v xml:space="preserve">UN    </v>
      </c>
      <c r="G191" s="152">
        <f ca="1">IF(RegimeExecucao="Global","",ORÇAMENTO!T191)</f>
        <v>9</v>
      </c>
      <c r="H191" s="152">
        <f ca="1">IF(RegimeExecucao="Global","",ORÇAMENTO!W191)</f>
        <v>4.04</v>
      </c>
      <c r="I191" s="155">
        <f ca="1">ORÇAMENTO!X191</f>
        <v>36.36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>F</v>
      </c>
      <c r="D192" s="147" t="str">
        <f ca="1">ORÇAMENTO!O192</f>
        <v>3.5.8.</v>
      </c>
      <c r="E192" s="207" t="str">
        <f t="shared" ca="1" si="24"/>
        <v>LAMPADA FLUORESCENTE ESPIRAL BRANCA 45 W, BASE E27 (127/220 V)</v>
      </c>
      <c r="F192" s="208" t="str">
        <f t="shared" ca="1" si="25"/>
        <v xml:space="preserve">UN    </v>
      </c>
      <c r="G192" s="152">
        <f ca="1">IF(RegimeExecucao="Global","",ORÇAMENTO!T192)</f>
        <v>9</v>
      </c>
      <c r="H192" s="152">
        <f ca="1">IF(RegimeExecucao="Global","",ORÇAMENTO!W192)</f>
        <v>62.48</v>
      </c>
      <c r="I192" s="155">
        <f ca="1">ORÇAMENTO!X192</f>
        <v>562.32000000000005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>F</v>
      </c>
      <c r="D193" s="147" t="str">
        <f ca="1">ORÇAMENTO!O193</f>
        <v>3.5.9.</v>
      </c>
      <c r="E193" s="207" t="str">
        <f t="shared" ca="1" si="24"/>
        <v>ELETRODUTO RÍGIDO ROSCÁVEL, PVC, DN 25 MM (3/4"), PARA CIRCUITOS TERMINAIS, INSTALADO EM FORRO - FORNECIMENTO E INSTALAÇÃO. AF_12/2015</v>
      </c>
      <c r="F193" s="208" t="str">
        <f t="shared" ca="1" si="25"/>
        <v>M</v>
      </c>
      <c r="G193" s="152">
        <f ca="1">IF(RegimeExecucao="Global","",ORÇAMENTO!T193)</f>
        <v>32</v>
      </c>
      <c r="H193" s="152">
        <f ca="1">IF(RegimeExecucao="Global","",ORÇAMENTO!W193)</f>
        <v>10.93</v>
      </c>
      <c r="I193" s="155">
        <f ca="1">ORÇAMENTO!X193</f>
        <v>349.76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>F</v>
      </c>
      <c r="D194" s="147" t="str">
        <f ca="1">ORÇAMENTO!O194</f>
        <v>3.5.10.</v>
      </c>
      <c r="E194" s="207" t="str">
        <f t="shared" ca="1" si="24"/>
        <v>RASGO EM ALVENARIA PARA ELETRODUTOS COM DIAMETROS MENORES OU IGUAIS A 40 MM. AF_05/2015</v>
      </c>
      <c r="F194" s="208" t="str">
        <f t="shared" ca="1" si="25"/>
        <v>M</v>
      </c>
      <c r="G194" s="152">
        <f ca="1">IF(RegimeExecucao="Global","",ORÇAMENTO!T194)</f>
        <v>32</v>
      </c>
      <c r="H194" s="152">
        <f ca="1">IF(RegimeExecucao="Global","",ORÇAMENTO!W194)</f>
        <v>6.93</v>
      </c>
      <c r="I194" s="155">
        <f ca="1">ORÇAMENTO!X194</f>
        <v>221.76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>F</v>
      </c>
      <c r="D195" s="147" t="str">
        <f ca="1">ORÇAMENTO!O195</f>
        <v>3.5.11.</v>
      </c>
      <c r="E195" s="207" t="str">
        <f t="shared" ca="1" si="24"/>
        <v>DISJUNTOR MONOPOLAR TIPO DIN, CORRENTE NOMINAL DE 25A - FORNECIMENTO E INSTALAÇÃO. AF_04/2016</v>
      </c>
      <c r="F195" s="208" t="str">
        <f t="shared" ca="1" si="25"/>
        <v>UN</v>
      </c>
      <c r="G195" s="152">
        <f ca="1">IF(RegimeExecucao="Global","",ORÇAMENTO!T195)</f>
        <v>7</v>
      </c>
      <c r="H195" s="152">
        <f ca="1">IF(RegimeExecucao="Global","",ORÇAMENTO!W195)</f>
        <v>16.05</v>
      </c>
      <c r="I195" s="155">
        <f ca="1">ORÇAMENTO!X195</f>
        <v>112.35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>
        <f ca="1">ORÇAMENTO!C197</f>
        <v>2</v>
      </c>
      <c r="B197">
        <f ca="1">ORÇAMENTO!D197</f>
        <v>15</v>
      </c>
      <c r="C197" s="144" t="str">
        <f t="shared" ca="1" si="23"/>
        <v>F</v>
      </c>
      <c r="D197" s="147" t="str">
        <f ca="1">ORÇAMENTO!O197</f>
        <v>3.6.</v>
      </c>
      <c r="E197" s="207" t="str">
        <f t="shared" ca="1" si="24"/>
        <v>(INSTALAÇÕES HIDRAULICAS)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3236.2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>F</v>
      </c>
      <c r="D198" s="147" t="str">
        <f ca="1">ORÇAMENTO!O198</f>
        <v>3.6.1.</v>
      </c>
      <c r="E198" s="207" t="str">
        <f t="shared" ca="1" si="24"/>
        <v>TUBO PVC, SERIE NORMAL, ESGOTO PREDIAL, DN 100 MM, FORNECIDO E INSTALADO EM RAMAL DE DESCARGA OU RAMAL DE ESGOTO SANITÁRIO. AF_12/2014</v>
      </c>
      <c r="F198" s="208" t="str">
        <f t="shared" ca="1" si="25"/>
        <v>M</v>
      </c>
      <c r="G198" s="152">
        <f ca="1">IF(RegimeExecucao="Global","",ORÇAMENTO!T198)</f>
        <v>23</v>
      </c>
      <c r="H198" s="152">
        <f ca="1">IF(RegimeExecucao="Global","",ORÇAMENTO!W198)</f>
        <v>56.2</v>
      </c>
      <c r="I198" s="155">
        <f ca="1">ORÇAMENTO!X198</f>
        <v>1292.5999999999999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>F</v>
      </c>
      <c r="D199" s="147" t="str">
        <f ca="1">ORÇAMENTO!O199</f>
        <v>3.6.2.</v>
      </c>
      <c r="E199" s="207" t="str">
        <f t="shared" ca="1" si="24"/>
        <v>TUBO PVC, SOLDAVEL, DN 25 MM, AGUA FRIA (NBR-5648)</v>
      </c>
      <c r="F199" s="208" t="str">
        <f t="shared" ca="1" si="25"/>
        <v xml:space="preserve">M     </v>
      </c>
      <c r="G199" s="152">
        <f ca="1">IF(RegimeExecucao="Global","",ORÇAMENTO!T199)</f>
        <v>32</v>
      </c>
      <c r="H199" s="152">
        <f ca="1">IF(RegimeExecucao="Global","",ORÇAMENTO!W199)</f>
        <v>3.18</v>
      </c>
      <c r="I199" s="155">
        <f ca="1">ORÇAMENTO!X199</f>
        <v>101.76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>F</v>
      </c>
      <c r="D200" s="147" t="str">
        <f ca="1">ORÇAMENTO!O200</f>
        <v>3.6.3.</v>
      </c>
      <c r="E200" s="207" t="str">
        <f t="shared" ca="1" si="24"/>
        <v>CAIXA DE PASSAGEM 30X30X40 COM TAMPA E DRENO BRITA</v>
      </c>
      <c r="F200" s="208" t="str">
        <f t="shared" ca="1" si="25"/>
        <v>UN</v>
      </c>
      <c r="G200" s="152">
        <f ca="1">IF(RegimeExecucao="Global","",ORÇAMENTO!T200)</f>
        <v>4</v>
      </c>
      <c r="H200" s="152">
        <f ca="1">IF(RegimeExecucao="Global","",ORÇAMENTO!W200)</f>
        <v>201</v>
      </c>
      <c r="I200" s="155">
        <f ca="1">ORÇAMENTO!X200</f>
        <v>804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>F</v>
      </c>
      <c r="D201" s="147" t="str">
        <f ca="1">ORÇAMENTO!O201</f>
        <v>3.6.4.</v>
      </c>
      <c r="E201" s="207" t="str">
        <f t="shared" ca="1" si="24"/>
        <v>CAIXA SIFONADA, PVC, DN 100 X 100 X 50 MM, JUNTA ELÁSTICA, FORNECIDA E INSTALADA EM RAMAL DE DESCARGA OU EM RAMAL DE ESGOTO SANITÁRIO. AF_12/2014</v>
      </c>
      <c r="F201" s="208" t="str">
        <f t="shared" ca="1" si="25"/>
        <v>UN</v>
      </c>
      <c r="G201" s="152">
        <f ca="1">IF(RegimeExecucao="Global","",ORÇAMENTO!T201)</f>
        <v>2</v>
      </c>
      <c r="H201" s="152">
        <f ca="1">IF(RegimeExecucao="Global","",ORÇAMENTO!W201)</f>
        <v>33.01</v>
      </c>
      <c r="I201" s="155">
        <f ca="1">ORÇAMENTO!X201</f>
        <v>66.02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>F</v>
      </c>
      <c r="D202" s="147" t="str">
        <f ca="1">ORÇAMENTO!O202</f>
        <v>3.6.5.</v>
      </c>
      <c r="E202" s="207" t="str">
        <f t="shared" ca="1" si="24"/>
        <v>TE, PVC, SOLDÁVEL, DN 25MM, INSTALADO EM RAMAL DE DISTRIBUIÇÃO DE ÁGUA - FORNECIMENTO E INSTALAÇÃO. AF_12/2014</v>
      </c>
      <c r="F202" s="208" t="str">
        <f t="shared" ca="1" si="25"/>
        <v>UN</v>
      </c>
      <c r="G202" s="152">
        <f ca="1">IF(RegimeExecucao="Global","",ORÇAMENTO!T202)</f>
        <v>8</v>
      </c>
      <c r="H202" s="152">
        <f ca="1">IF(RegimeExecucao="Global","",ORÇAMENTO!W202)</f>
        <v>8.66</v>
      </c>
      <c r="I202" s="155">
        <f ca="1">ORÇAMENTO!X202</f>
        <v>69.28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>F</v>
      </c>
      <c r="D203" s="147" t="str">
        <f ca="1">ORÇAMENTO!O203</f>
        <v>3.6.6.</v>
      </c>
      <c r="E203" s="207" t="str">
        <f t="shared" ca="1" si="24"/>
        <v>JOELHO 90 GRAUS, PVC, SERIE NORMAL, ESGOTO PREDIAL, DN 100 MM, JUNTA ELÁSTICA, FORNECIDO E INSTALADO EM RAMAL DE DESCARGA OU RAMAL DE ESGOTO SANITÁRIO. AF_12/2014</v>
      </c>
      <c r="F203" s="208" t="str">
        <f t="shared" ca="1" si="25"/>
        <v>UN</v>
      </c>
      <c r="G203" s="152">
        <f ca="1">IF(RegimeExecucao="Global","",ORÇAMENTO!T203)</f>
        <v>8</v>
      </c>
      <c r="H203" s="152">
        <f ca="1">IF(RegimeExecucao="Global","",ORÇAMENTO!W203)</f>
        <v>23.22</v>
      </c>
      <c r="I203" s="155">
        <f ca="1">ORÇAMENTO!X203</f>
        <v>185.76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>F</v>
      </c>
      <c r="D204" s="147" t="str">
        <f ca="1">ORÇAMENTO!O204</f>
        <v>3.6.7.</v>
      </c>
      <c r="E204" s="207" t="str">
        <f t="shared" ca="1" si="24"/>
        <v>JOELHO 90 GRAUS, PVC, SOLDÁVEL, DN 25MM, INSTALADO EM RAMAL OU SUB-RAMAL DE ÁGUA - FORNECIMENTO E INSTALAÇÃO. AF_12/2014</v>
      </c>
      <c r="F204" s="208" t="str">
        <f t="shared" ca="1" si="25"/>
        <v>UN</v>
      </c>
      <c r="G204" s="152">
        <f ca="1">IF(RegimeExecucao="Global","",ORÇAMENTO!T204)</f>
        <v>8</v>
      </c>
      <c r="H204" s="152">
        <f ca="1">IF(RegimeExecucao="Global","",ORÇAMENTO!W204)</f>
        <v>9.14</v>
      </c>
      <c r="I204" s="155">
        <f ca="1">ORÇAMENTO!X204</f>
        <v>73.12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>F</v>
      </c>
      <c r="D205" s="147" t="str">
        <f ca="1">ORÇAMENTO!O205</f>
        <v>3.6.8.</v>
      </c>
      <c r="E205" s="207" t="str">
        <f t="shared" ca="1" si="24"/>
        <v>TORNEIRA CROMADA DE MESA, 1/2 OU 3/4, PARA LAVATÓRIO, PADRÃO POPULAR - FORNECIMENTO E INSTALAÇÃO. AF_01/2020</v>
      </c>
      <c r="F205" s="208" t="str">
        <f t="shared" ca="1" si="25"/>
        <v>UN</v>
      </c>
      <c r="G205" s="152">
        <f ca="1">IF(RegimeExecucao="Global","",ORÇAMENTO!T205)</f>
        <v>4</v>
      </c>
      <c r="H205" s="152">
        <f ca="1">IF(RegimeExecucao="Global","",ORÇAMENTO!W205)</f>
        <v>56.26</v>
      </c>
      <c r="I205" s="155">
        <f ca="1">ORÇAMENTO!X205</f>
        <v>225.04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>F</v>
      </c>
      <c r="D206" s="147" t="str">
        <f ca="1">ORÇAMENTO!O206</f>
        <v>3.6.9.</v>
      </c>
      <c r="E206" s="207" t="str">
        <f t="shared" ca="1" si="24"/>
        <v>REGISTRO DE GAVETA BRUTO, LATÃO, ROSCÁVEL, 3/4", FORNECIDO E INSTALADO EM RAMAL DE ÁGUA. AF_12/2014</v>
      </c>
      <c r="F206" s="208" t="str">
        <f t="shared" ca="1" si="25"/>
        <v>UN</v>
      </c>
      <c r="G206" s="152">
        <f ca="1">IF(RegimeExecucao="Global","",ORÇAMENTO!T206)</f>
        <v>2</v>
      </c>
      <c r="H206" s="152">
        <f ca="1">IF(RegimeExecucao="Global","",ORÇAMENTO!W206)</f>
        <v>40.36</v>
      </c>
      <c r="I206" s="155">
        <f ca="1">ORÇAMENTO!X206</f>
        <v>80.72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>F</v>
      </c>
      <c r="D207" s="147" t="str">
        <f ca="1">ORÇAMENTO!O207</f>
        <v>3.6.10.</v>
      </c>
      <c r="E207" s="207" t="str">
        <f t="shared" ca="1" si="24"/>
        <v>RALO SIFONADO, PVC, DN 100 X 40 MM, JUNTA SOLDÁVEL, FORNECIDO E INSTALADO EM RAMAL DE DESCARGA OU EM RAMAL DE ESGOTO SANITÁRIO. AF_12/2014</v>
      </c>
      <c r="F207" s="208" t="str">
        <f t="shared" ca="1" si="25"/>
        <v>UN</v>
      </c>
      <c r="G207" s="152">
        <f ca="1">IF(RegimeExecucao="Global","",ORÇAMENTO!T207)</f>
        <v>1</v>
      </c>
      <c r="H207" s="152">
        <f ca="1">IF(RegimeExecucao="Global","",ORÇAMENTO!W207)</f>
        <v>12.48</v>
      </c>
      <c r="I207" s="155">
        <f ca="1">ORÇAMENTO!X207</f>
        <v>12.48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>F</v>
      </c>
      <c r="D208" s="147" t="str">
        <f ca="1">ORÇAMENTO!O208</f>
        <v>3.6.11.</v>
      </c>
      <c r="E208" s="207" t="str">
        <f t="shared" ref="E208:E265" ca="1" si="35">ORÇAMENTO.Descricao</f>
        <v>CAIXA D'AGUA EM POLIETILENO 500 LITROS, COM TAMPA</v>
      </c>
      <c r="F208" s="208" t="str">
        <f t="shared" ref="F208:F265" ca="1" si="36">IF(RegimeExecucao="Global","",ORÇAMENTO.Unidade)</f>
        <v xml:space="preserve">UN    </v>
      </c>
      <c r="G208" s="152">
        <f ca="1">IF(RegimeExecucao="Global","",ORÇAMENTO!T208)</f>
        <v>1</v>
      </c>
      <c r="H208" s="152">
        <f ca="1">IF(RegimeExecucao="Global","",ORÇAMENTO!W208)</f>
        <v>250.87</v>
      </c>
      <c r="I208" s="155">
        <f ca="1">ORÇAMENTO!X208</f>
        <v>250.87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>F</v>
      </c>
      <c r="D209" s="147" t="str">
        <f ca="1">ORÇAMENTO!O209</f>
        <v>3.6.12.</v>
      </c>
      <c r="E209" s="207" t="str">
        <f t="shared" ca="1" si="35"/>
        <v>CAIXA DE GORDURA SIMPLES, CIRCULAR, EM CONCRETO PRÉ-MOLDADO, DIÂMETRO INTERNO = 0,4 M, ALTURA INTERNA = 0,4 M. AF_05/2018</v>
      </c>
      <c r="F209" s="208" t="str">
        <f t="shared" ca="1" si="36"/>
        <v>UN</v>
      </c>
      <c r="G209" s="152">
        <f ca="1">IF(RegimeExecucao="Global","",ORÇAMENTO!T209)</f>
        <v>1</v>
      </c>
      <c r="H209" s="152">
        <f ca="1">IF(RegimeExecucao="Global","",ORÇAMENTO!W209)</f>
        <v>74.55</v>
      </c>
      <c r="I209" s="155">
        <f ca="1">ORÇAMENTO!X209</f>
        <v>74.55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>
        <f ca="1">ORÇAMENTO!C212</f>
        <v>2</v>
      </c>
      <c r="B212">
        <f ca="1">ORÇAMENTO!D212</f>
        <v>4</v>
      </c>
      <c r="C212" s="144" t="str">
        <f t="shared" ca="1" si="34"/>
        <v>F</v>
      </c>
      <c r="D212" s="147" t="str">
        <f ca="1">ORÇAMENTO!O212</f>
        <v>3.7.</v>
      </c>
      <c r="E212" s="207" t="str">
        <f t="shared" ca="1" si="35"/>
        <v>(SAGUÃO)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1665.01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>F</v>
      </c>
      <c r="D213" s="147" t="str">
        <f ca="1">ORÇAMENTO!O213</f>
        <v>3.7.1.</v>
      </c>
      <c r="E213" s="207" t="str">
        <f t="shared" ca="1" si="35"/>
        <v>LAVATÓRIO/BEBEDOURO EM AÇO INÓX, e=0,8MM,  COM TRES TORNEIRAS DE PRESSÃO DE PAREDE,  100X50X35CM, COM SIFÃO, TUBULAÇÃO, FORNECIMENTO E INSTALAÇÃO</v>
      </c>
      <c r="F213" s="208" t="str">
        <f t="shared" ca="1" si="36"/>
        <v>UD</v>
      </c>
      <c r="G213" s="152">
        <f ca="1">IF(RegimeExecucao="Global","",ORÇAMENTO!T213)</f>
        <v>1</v>
      </c>
      <c r="H213" s="152">
        <f ca="1">IF(RegimeExecucao="Global","",ORÇAMENTO!W213)</f>
        <v>948.76</v>
      </c>
      <c r="I213" s="155">
        <f ca="1">ORÇAMENTO!X213</f>
        <v>948.76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>F</v>
      </c>
      <c r="D214" s="147" t="str">
        <f ca="1">ORÇAMENTO!O214</f>
        <v>3.7.2.</v>
      </c>
      <c r="E214" s="207" t="str">
        <f t="shared" ca="1" si="35"/>
        <v>RASGO E FECHAMENTO EM PAREDE/PISO PARA TUBULAÇÃO DE AGUA FRIA 25CMM</v>
      </c>
      <c r="F214" s="208" t="str">
        <f t="shared" ca="1" si="36"/>
        <v>M</v>
      </c>
      <c r="G214" s="152">
        <f ca="1">IF(RegimeExecucao="Global","",ORÇAMENTO!T214)</f>
        <v>15</v>
      </c>
      <c r="H214" s="152">
        <f ca="1">IF(RegimeExecucao="Global","",ORÇAMENTO!W214)</f>
        <v>44.57</v>
      </c>
      <c r="I214" s="155">
        <f ca="1">ORÇAMENTO!X214</f>
        <v>668.55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>F</v>
      </c>
      <c r="D215" s="147" t="str">
        <f ca="1">ORÇAMENTO!O215</f>
        <v>3.7.3.</v>
      </c>
      <c r="E215" s="207" t="str">
        <f t="shared" ca="1" si="35"/>
        <v>TUBO PVC, SOLDAVEL, DN 25 MM, AGUA FRIA (NBR-5648)</v>
      </c>
      <c r="F215" s="208" t="str">
        <f t="shared" ca="1" si="36"/>
        <v xml:space="preserve">M     </v>
      </c>
      <c r="G215" s="152">
        <f ca="1">IF(RegimeExecucao="Global","",ORÇAMENTO!T215)</f>
        <v>15</v>
      </c>
      <c r="H215" s="152">
        <f ca="1">IF(RegimeExecucao="Global","",ORÇAMENTO!W215)</f>
        <v>3.18</v>
      </c>
      <c r="I215" s="155">
        <f ca="1">ORÇAMENTO!X215</f>
        <v>47.7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>
        <f ca="1">ORÇAMENTO!C216</f>
        <v>2</v>
      </c>
      <c r="B216">
        <f ca="1">ORÇAMENTO!D216</f>
        <v>4</v>
      </c>
      <c r="C216" s="144" t="str">
        <f t="shared" ca="1" si="34"/>
        <v>F</v>
      </c>
      <c r="D216" s="147" t="str">
        <f ca="1">ORÇAMENTO!O216</f>
        <v>3.8.</v>
      </c>
      <c r="E216" s="207" t="str">
        <f t="shared" ca="1" si="35"/>
        <v>(EXAUSTORES / TELAS MILIMETRICAS)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7937.86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01 coifa aço inox 430, medindo: 1,20m x 1,00m x 0,60cm c/ exaustor de 0,40cm diâmetro, com 04 metros de dutos inox , -01suporte c/cantoneira alumínio, c/tela inox , medindo; 0,79x 2,24</v>
      </c>
      <c r="F217" s="208" t="str">
        <f t="shared" ca="1" si="36"/>
        <v>UNIDADE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>F</v>
      </c>
      <c r="D218" s="147" t="str">
        <f ca="1">ORÇAMENTO!O218</f>
        <v>3.8.1.</v>
      </c>
      <c r="E218" s="207" t="str">
        <f t="shared" ca="1" si="35"/>
        <v>KIT TELA MOSQUITEIRO EM PVC ,  COM MOLDURAS EM ALUMINIO METALON 100MMX50MM, ESPESSURA CHAPA 1,2MM, C/FIXAÇÕES, FECHAMENTO AUTOMÁTICO DE PORTAS- INSTALADA - CONFORME DETALHE EM PROJETO</v>
      </c>
      <c r="F218" s="208" t="str">
        <f t="shared" ca="1" si="36"/>
        <v>UNIDADE</v>
      </c>
      <c r="G218" s="152">
        <f ca="1">IF(RegimeExecucao="Global","",ORÇAMENTO!T218)</f>
        <v>19.12</v>
      </c>
      <c r="H218" s="152">
        <f ca="1">IF(RegimeExecucao="Global","",ORÇAMENTO!W218)</f>
        <v>415.16</v>
      </c>
      <c r="I218" s="155">
        <f ca="1">ORÇAMENTO!X218</f>
        <v>7937.86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>
        <f ca="1">ORÇAMENTO!C220</f>
        <v>2</v>
      </c>
      <c r="B220">
        <f ca="1">ORÇAMENTO!D220</f>
        <v>2</v>
      </c>
      <c r="C220" s="144" t="str">
        <f t="shared" ca="1" si="34"/>
        <v>F</v>
      </c>
      <c r="D220" s="147" t="str">
        <f ca="1">ORÇAMENTO!O220</f>
        <v>3.9.</v>
      </c>
      <c r="E220" s="207" t="str">
        <f t="shared" ca="1" si="35"/>
        <v>(INSTALAÇÕES DE PREVENÇÃO CONTRA INCÊNDIO 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3311.1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>F</v>
      </c>
      <c r="D221" s="147" t="str">
        <f ca="1">ORÇAMENTO!O221</f>
        <v>3.9.1.</v>
      </c>
      <c r="E221" s="207" t="str">
        <f t="shared" ca="1" si="35"/>
        <v>CENTRAL DE GLP 1,5X0,75 H:2,90 M, CONSTRUÍDO COM TUBULAÇÃO E CONEXÕES</v>
      </c>
      <c r="F221" s="208" t="str">
        <f t="shared" ca="1" si="36"/>
        <v>UNIDADE</v>
      </c>
      <c r="G221" s="152">
        <f ca="1">IF(RegimeExecucao="Global","",ORÇAMENTO!T221)</f>
        <v>1</v>
      </c>
      <c r="H221" s="152">
        <f ca="1">IF(RegimeExecucao="Global","",ORÇAMENTO!W221)</f>
        <v>3311.1</v>
      </c>
      <c r="I221" s="155">
        <f ca="1">ORÇAMENTO!X221</f>
        <v>3311.1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>
        <f ca="1">ORÇAMENTO!C222</f>
        <v>1</v>
      </c>
      <c r="B222">
        <f ca="1">ORÇAMENTO!D222</f>
        <v>44</v>
      </c>
      <c r="C222" s="144" t="str">
        <f t="shared" ca="1" si="34"/>
        <v>F</v>
      </c>
      <c r="D222" s="147" t="str">
        <f ca="1">ORÇAMENTO!O222</f>
        <v>4.</v>
      </c>
      <c r="E222" s="207" t="str">
        <f t="shared" ca="1" si="35"/>
        <v>(BANHEIRO ADAPTADO 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4664.12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>
        <f ca="1">ORÇAMENTO!C223</f>
        <v>2</v>
      </c>
      <c r="B223">
        <f ca="1">ORÇAMENTO!D223</f>
        <v>24</v>
      </c>
      <c r="C223" s="144" t="str">
        <f t="shared" ca="1" si="34"/>
        <v>F</v>
      </c>
      <c r="D223" s="147" t="str">
        <f ca="1">ORÇAMENTO!O223</f>
        <v>4.1.</v>
      </c>
      <c r="E223" s="207" t="str">
        <f t="shared" ca="1" si="35"/>
        <v>(REVESTIMENTOS/ INSTALAÇÕES HIDRAULICAS)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4435.18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>F</v>
      </c>
      <c r="D224" s="147" t="str">
        <f ca="1">ORÇAMENTO!O224</f>
        <v>4.1.1.</v>
      </c>
      <c r="E224" s="207" t="str">
        <f t="shared" ca="1" si="35"/>
        <v>CONTRAPISO EM ARGAMASSA TRAÇO 1:4 (CIMENTO E AREIA), PREPARO MECÂNICO COM BETONEIRA 400 L, APLICADO EM ÁREAS SECAS SOBRE LAJE, NÃO ADERIDO, ESPESSURA 6CM. AF_06/2014</v>
      </c>
      <c r="F224" s="208" t="str">
        <f t="shared" ca="1" si="36"/>
        <v>M2</v>
      </c>
      <c r="G224" s="152">
        <f ca="1">IF(RegimeExecucao="Global","",ORÇAMENTO!T224)</f>
        <v>2.57</v>
      </c>
      <c r="H224" s="152">
        <f ca="1">IF(RegimeExecucao="Global","",ORÇAMENTO!W224)</f>
        <v>45.77</v>
      </c>
      <c r="I224" s="155">
        <f ca="1">ORÇAMENTO!X224</f>
        <v>117.63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>F</v>
      </c>
      <c r="D225" s="147" t="str">
        <f ca="1">ORÇAMENTO!O225</f>
        <v>4.1.2.</v>
      </c>
      <c r="E225" s="207" t="str">
        <f t="shared" ca="1" si="35"/>
        <v>REVESTIMENTO CERÂMICO PARA PAREDES INTERNAS COM PLACAS TIPO ESMALTADA EXTRA DE DIMENSÕES 20X20 CM APLICADAS EM AMBIENTES DE ÁREA MENOR QUE 5 M² A MEIA ALTURA DAS PAREDES. AF_06/2014</v>
      </c>
      <c r="F225" s="208" t="str">
        <f t="shared" ca="1" si="36"/>
        <v>M2</v>
      </c>
      <c r="G225" s="152">
        <f ca="1">IF(RegimeExecucao="Global","",ORÇAMENTO!T225)</f>
        <v>16.11</v>
      </c>
      <c r="H225" s="152">
        <f ca="1">IF(RegimeExecucao="Global","",ORÇAMENTO!W225)</f>
        <v>59.23</v>
      </c>
      <c r="I225" s="155">
        <f ca="1">ORÇAMENTO!X225</f>
        <v>954.2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>F</v>
      </c>
      <c r="D226" s="147" t="str">
        <f ca="1">ORÇAMENTO!O226</f>
        <v>4.1.3.</v>
      </c>
      <c r="E226" s="207" t="str">
        <f t="shared" ca="1" si="35"/>
        <v>REJUNTE COLORIDO, CIMENTICIO</v>
      </c>
      <c r="F226" s="208" t="str">
        <f t="shared" ca="1" si="36"/>
        <v xml:space="preserve">KG    </v>
      </c>
      <c r="G226" s="152">
        <f ca="1">IF(RegimeExecucao="Global","",ORÇAMENTO!T226)</f>
        <v>5.5</v>
      </c>
      <c r="H226" s="152">
        <f ca="1">IF(RegimeExecucao="Global","",ORÇAMENTO!W226)</f>
        <v>3.81</v>
      </c>
      <c r="I226" s="155">
        <f ca="1">ORÇAMENTO!X226</f>
        <v>20.96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>F</v>
      </c>
      <c r="D227" s="147" t="str">
        <f ca="1">ORÇAMENTO!O227</f>
        <v>4.1.4.</v>
      </c>
      <c r="E227" s="207" t="str">
        <f t="shared" ca="1" si="35"/>
        <v>(COMPOSIÇÃO REPRESENTATIVA) DO SERVIÇO DE REVESTIMENTO CERÂMICO PARA PISO COM PLACAS TIPO GRÉS DE DIMENSÕES 35X35 CM, PARA EDIFICAÇÃO HABITACIONAL UNIFAMILIAR (CASA) E EDIFICAÇÃO PÚBLICA PADRÃO. AF_11/2014</v>
      </c>
      <c r="F227" s="208" t="str">
        <f t="shared" ca="1" si="36"/>
        <v>M2</v>
      </c>
      <c r="G227" s="152">
        <f ca="1">IF(RegimeExecucao="Global","",ORÇAMENTO!T227)</f>
        <v>2.57</v>
      </c>
      <c r="H227" s="152">
        <f ca="1">IF(RegimeExecucao="Global","",ORÇAMENTO!W227)</f>
        <v>38.35</v>
      </c>
      <c r="I227" s="155">
        <f ca="1">ORÇAMENTO!X227</f>
        <v>98.56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>F</v>
      </c>
      <c r="D228" s="147" t="str">
        <f ca="1">ORÇAMENTO!O228</f>
        <v>4.1.5.</v>
      </c>
      <c r="E228" s="207" t="str">
        <f t="shared" ca="1" si="35"/>
        <v>DEMOLIÇÃO DE ALVENARIA DE BLOCO FURADO, DE FORMA MANUAL, SEM REAPROVEITAMENTO. AF_12/2017</v>
      </c>
      <c r="F228" s="208" t="str">
        <f t="shared" ca="1" si="36"/>
        <v>M3</v>
      </c>
      <c r="G228" s="152">
        <f ca="1">IF(RegimeExecucao="Global","",ORÇAMENTO!T228)</f>
        <v>0.5</v>
      </c>
      <c r="H228" s="152">
        <f ca="1">IF(RegimeExecucao="Global","",ORÇAMENTO!W228)</f>
        <v>57.59</v>
      </c>
      <c r="I228" s="155">
        <f ca="1">ORÇAMENTO!X228</f>
        <v>28.8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>F</v>
      </c>
      <c r="D229" s="147" t="str">
        <f ca="1">ORÇAMENTO!O229</f>
        <v>4.1.6.</v>
      </c>
      <c r="E229" s="207" t="str">
        <f t="shared" ca="1" si="35"/>
        <v>TUBO PVC, SERIE NORMAL, ESGOTO PREDIAL, DN 100 MM, FORNECIDO E INSTALADO EM RAMAL DE DESCARGA OU RAMAL DE ESGOTO SANITÁRIO. AF_12/2014</v>
      </c>
      <c r="F229" s="208" t="str">
        <f t="shared" ca="1" si="36"/>
        <v>M</v>
      </c>
      <c r="G229" s="152">
        <f ca="1">IF(RegimeExecucao="Global","",ORÇAMENTO!T229)</f>
        <v>12</v>
      </c>
      <c r="H229" s="152">
        <f ca="1">IF(RegimeExecucao="Global","",ORÇAMENTO!W229)</f>
        <v>56.2</v>
      </c>
      <c r="I229" s="155">
        <f ca="1">ORÇAMENTO!X229</f>
        <v>674.4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>F</v>
      </c>
      <c r="D230" s="147" t="str">
        <f ca="1">ORÇAMENTO!O230</f>
        <v>4.1.7.</v>
      </c>
      <c r="E230" s="207" t="str">
        <f t="shared" ca="1" si="35"/>
        <v>TUBO PVC, SOLDAVEL, DN 25 MM, AGUA FRIA (NBR-5648)</v>
      </c>
      <c r="F230" s="208" t="str">
        <f t="shared" ca="1" si="36"/>
        <v xml:space="preserve">M     </v>
      </c>
      <c r="G230" s="152">
        <f ca="1">IF(RegimeExecucao="Global","",ORÇAMENTO!T230)</f>
        <v>12</v>
      </c>
      <c r="H230" s="152">
        <f ca="1">IF(RegimeExecucao="Global","",ORÇAMENTO!W230)</f>
        <v>3.18</v>
      </c>
      <c r="I230" s="155">
        <f ca="1">ORÇAMENTO!X230</f>
        <v>38.159999999999997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>F</v>
      </c>
      <c r="D231" s="147" t="str">
        <f ca="1">ORÇAMENTO!O231</f>
        <v>4.1.8.</v>
      </c>
      <c r="E231" s="207" t="str">
        <f t="shared" ca="1" si="35"/>
        <v>TUBO PVC, SERIE NORMAL, ESGOTO PREDIAL, DN 50 MM, FORNECIDO E INSTALADO EM RAMAL DE DESCARGA OU RAMAL DE ESGOTO SANITÁRIO. AF_12/2014</v>
      </c>
      <c r="F231" s="208" t="str">
        <f t="shared" ca="1" si="36"/>
        <v>M</v>
      </c>
      <c r="G231" s="152">
        <f ca="1">IF(RegimeExecucao="Global","",ORÇAMENTO!T231)</f>
        <v>3.5</v>
      </c>
      <c r="H231" s="152">
        <f ca="1">IF(RegimeExecucao="Global","",ORÇAMENTO!W231)</f>
        <v>28.59</v>
      </c>
      <c r="I231" s="155">
        <f ca="1">ORÇAMENTO!X231</f>
        <v>100.07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>F</v>
      </c>
      <c r="D232" s="147" t="str">
        <f ca="1">ORÇAMENTO!O232</f>
        <v>4.1.9.</v>
      </c>
      <c r="E232" s="207" t="str">
        <f t="shared" ca="1" si="35"/>
        <v>CAIXA DE PASSAGEM 30X30X40 COM TAMPA E DRENO BRITA</v>
      </c>
      <c r="F232" s="208" t="str">
        <f t="shared" ca="1" si="36"/>
        <v>UN</v>
      </c>
      <c r="G232" s="152">
        <f ca="1">IF(RegimeExecucao="Global","",ORÇAMENTO!T232)</f>
        <v>2</v>
      </c>
      <c r="H232" s="152">
        <f ca="1">IF(RegimeExecucao="Global","",ORÇAMENTO!W232)</f>
        <v>201</v>
      </c>
      <c r="I232" s="155">
        <f ca="1">ORÇAMENTO!X232</f>
        <v>402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>F</v>
      </c>
      <c r="D233" s="147" t="str">
        <f ca="1">ORÇAMENTO!O233</f>
        <v>4.1.10.</v>
      </c>
      <c r="E233" s="207" t="str">
        <f t="shared" ca="1" si="35"/>
        <v>BACIA SANITARIA (VASO) COM CAIXA ACOPLADA, DE LOUCA BRANCA</v>
      </c>
      <c r="F233" s="208" t="str">
        <f t="shared" ca="1" si="36"/>
        <v xml:space="preserve">UN    </v>
      </c>
      <c r="G233" s="152">
        <f ca="1">IF(RegimeExecucao="Global","",ORÇAMENTO!T233)</f>
        <v>1</v>
      </c>
      <c r="H233" s="152">
        <f ca="1">IF(RegimeExecucao="Global","",ORÇAMENTO!W233)</f>
        <v>448.21</v>
      </c>
      <c r="I233" s="155">
        <f ca="1">ORÇAMENTO!X233</f>
        <v>448.21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>F</v>
      </c>
      <c r="D234" s="147" t="str">
        <f ca="1">ORÇAMENTO!O234</f>
        <v>4.1.11.</v>
      </c>
      <c r="E234" s="207" t="str">
        <f t="shared" ca="1" si="35"/>
        <v>CAIXA SIFONADA, PVC, DN 100 X 100 X 50 MM, JUNTA ELÁSTICA, FORNECIDA E INSTALADA EM RAMAL DE DESCARGA OU EM RAMAL DE ESGOTO SANITÁRIO. AF_12/2014</v>
      </c>
      <c r="F234" s="208" t="str">
        <f t="shared" ca="1" si="36"/>
        <v>UN</v>
      </c>
      <c r="G234" s="152">
        <f ca="1">IF(RegimeExecucao="Global","",ORÇAMENTO!T234)</f>
        <v>1</v>
      </c>
      <c r="H234" s="152">
        <f ca="1">IF(RegimeExecucao="Global","",ORÇAMENTO!W234)</f>
        <v>33.01</v>
      </c>
      <c r="I234" s="155">
        <f ca="1">ORÇAMENTO!X234</f>
        <v>33.01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>F</v>
      </c>
      <c r="D235" s="147" t="str">
        <f ca="1">ORÇAMENTO!O235</f>
        <v>4.1.12.</v>
      </c>
      <c r="E235" s="207" t="str">
        <f t="shared" ca="1" si="35"/>
        <v>TE, PVC, SOLDÁVEL, DN 25MM, INSTALADO EM RAMAL DE DISTRIBUIÇÃO DE ÁGUA - FORNECIMENTO E INSTALAÇÃO. AF_12/2014</v>
      </c>
      <c r="F235" s="208" t="str">
        <f t="shared" ca="1" si="36"/>
        <v>UN</v>
      </c>
      <c r="G235" s="152">
        <f ca="1">IF(RegimeExecucao="Global","",ORÇAMENTO!T235)</f>
        <v>4</v>
      </c>
      <c r="H235" s="152">
        <f ca="1">IF(RegimeExecucao="Global","",ORÇAMENTO!W235)</f>
        <v>8.66</v>
      </c>
      <c r="I235" s="155">
        <f ca="1">ORÇAMENTO!X235</f>
        <v>34.64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>F</v>
      </c>
      <c r="D236" s="147" t="str">
        <f ca="1">ORÇAMENTO!O236</f>
        <v>4.1.13.</v>
      </c>
      <c r="E236" s="207" t="str">
        <f t="shared" ca="1" si="35"/>
        <v>JOELHO 90 GRAUS, PVC, SERIE NORMAL, ESGOTO PREDIAL, DN 100 MM, JUNTA ELÁSTICA, FORNECIDO E INSTALADO EM RAMAL DE DESCARGA OU RAMAL DE ESGOTO SANITÁRIO. AF_12/2014</v>
      </c>
      <c r="F236" s="208" t="str">
        <f t="shared" ca="1" si="36"/>
        <v>UN</v>
      </c>
      <c r="G236" s="152">
        <f ca="1">IF(RegimeExecucao="Global","",ORÇAMENTO!T236)</f>
        <v>2</v>
      </c>
      <c r="H236" s="152">
        <f ca="1">IF(RegimeExecucao="Global","",ORÇAMENTO!W236)</f>
        <v>23.22</v>
      </c>
      <c r="I236" s="155">
        <f ca="1">ORÇAMENTO!X236</f>
        <v>46.44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>F</v>
      </c>
      <c r="D237" s="147" t="str">
        <f ca="1">ORÇAMENTO!O237</f>
        <v>4.1.14.</v>
      </c>
      <c r="E237" s="207" t="str">
        <f t="shared" ca="1" si="35"/>
        <v>JOELHO 90 GRAUS, PVC, SOLDÁVEL, DN 25MM, INSTALADO EM RAMAL OU SUB-RAMAL DE ÁGUA - FORNECIMENTO E INSTALAÇÃO. AF_12/2014</v>
      </c>
      <c r="F237" s="208" t="str">
        <f t="shared" ca="1" si="36"/>
        <v>UN</v>
      </c>
      <c r="G237" s="152">
        <f ca="1">IF(RegimeExecucao="Global","",ORÇAMENTO!T237)</f>
        <v>4</v>
      </c>
      <c r="H237" s="152">
        <f ca="1">IF(RegimeExecucao="Global","",ORÇAMENTO!W237)</f>
        <v>9.14</v>
      </c>
      <c r="I237" s="155">
        <f ca="1">ORÇAMENTO!X237</f>
        <v>36.56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>F</v>
      </c>
      <c r="D238" s="147" t="str">
        <f ca="1">ORÇAMENTO!O238</f>
        <v>4.1.15.</v>
      </c>
      <c r="E238" s="207" t="str">
        <f t="shared" ca="1" si="35"/>
        <v>TORNEIRA CROMADA DE MESA, 1/2 OU 3/4, PARA LAVATÓRIO, PADRÃO POPULAR - FORNECIMENTO E INSTALAÇÃO. AF_01/2020</v>
      </c>
      <c r="F238" s="208" t="str">
        <f t="shared" ca="1" si="36"/>
        <v>UN</v>
      </c>
      <c r="G238" s="152">
        <f ca="1">IF(RegimeExecucao="Global","",ORÇAMENTO!T238)</f>
        <v>1</v>
      </c>
      <c r="H238" s="152">
        <f ca="1">IF(RegimeExecucao="Global","",ORÇAMENTO!W238)</f>
        <v>56.26</v>
      </c>
      <c r="I238" s="155">
        <f ca="1">ORÇAMENTO!X238</f>
        <v>56.26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>F</v>
      </c>
      <c r="D239" s="147" t="str">
        <f ca="1">ORÇAMENTO!O239</f>
        <v>4.1.16.</v>
      </c>
      <c r="E239" s="207" t="str">
        <f t="shared" ca="1" si="35"/>
        <v>REGISTRO DE GAVETA BRUTO, LATÃO, ROSCÁVEL, 3/4", FORNECIDO E INSTALADO EM RAMAL DE ÁGUA. AF_12/2014</v>
      </c>
      <c r="F239" s="208" t="str">
        <f t="shared" ca="1" si="36"/>
        <v>UN</v>
      </c>
      <c r="G239" s="152">
        <f ca="1">IF(RegimeExecucao="Global","",ORÇAMENTO!T239)</f>
        <v>1</v>
      </c>
      <c r="H239" s="152">
        <f ca="1">IF(RegimeExecucao="Global","",ORÇAMENTO!W239)</f>
        <v>40.36</v>
      </c>
      <c r="I239" s="155">
        <f ca="1">ORÇAMENTO!X239</f>
        <v>40.36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>F</v>
      </c>
      <c r="D240" s="147" t="str">
        <f ca="1">ORÇAMENTO!O240</f>
        <v>4.1.17.</v>
      </c>
      <c r="E240" s="207" t="str">
        <f t="shared" ca="1" si="35"/>
        <v>RALO SIFONADO, PVC, DN 100 X 40 MM, JUNTA SOLDÁVEL, FORNECIDO E INSTALADO EM RAMAL DE DESCARGA OU EM RAMAL DE ESGOTO SANITÁRIO. AF_12/2014</v>
      </c>
      <c r="F240" s="208" t="str">
        <f t="shared" ca="1" si="36"/>
        <v>UN</v>
      </c>
      <c r="G240" s="152">
        <f ca="1">IF(RegimeExecucao="Global","",ORÇAMENTO!T240)</f>
        <v>1</v>
      </c>
      <c r="H240" s="152">
        <f ca="1">IF(RegimeExecucao="Global","",ORÇAMENTO!W240)</f>
        <v>12.48</v>
      </c>
      <c r="I240" s="155">
        <f ca="1">ORÇAMENTO!X240</f>
        <v>12.48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>F</v>
      </c>
      <c r="D241" s="147" t="str">
        <f ca="1">ORÇAMENTO!O241</f>
        <v>4.1.18.</v>
      </c>
      <c r="E241" s="207" t="str">
        <f t="shared" ca="1" si="35"/>
        <v>SABONETEIRA PLASTICA TIPO DISPENSER PARA SABONETE LIQUIDO COM RESERVATORIO 800 A 1500 ML</v>
      </c>
      <c r="F241" s="208" t="str">
        <f t="shared" ca="1" si="36"/>
        <v xml:space="preserve">UN    </v>
      </c>
      <c r="G241" s="152">
        <f ca="1">IF(RegimeExecucao="Global","",ORÇAMENTO!T241)</f>
        <v>1</v>
      </c>
      <c r="H241" s="152">
        <f ca="1">IF(RegimeExecucao="Global","",ORÇAMENTO!W241)</f>
        <v>38.08</v>
      </c>
      <c r="I241" s="155">
        <f ca="1">ORÇAMENTO!X241</f>
        <v>38.08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>F</v>
      </c>
      <c r="D242" s="147" t="str">
        <f ca="1">ORÇAMENTO!O242</f>
        <v>4.1.19.</v>
      </c>
      <c r="E242" s="207" t="str">
        <f t="shared" ca="1" si="35"/>
        <v>LAVATORIO LOUCA BRANCA COM COLUNA *44 X 35,5* CM</v>
      </c>
      <c r="F242" s="208" t="str">
        <f t="shared" ca="1" si="36"/>
        <v xml:space="preserve">UN    </v>
      </c>
      <c r="G242" s="152">
        <f ca="1">IF(RegimeExecucao="Global","",ORÇAMENTO!T242)</f>
        <v>1</v>
      </c>
      <c r="H242" s="152">
        <f ca="1">IF(RegimeExecucao="Global","",ORÇAMENTO!W242)</f>
        <v>172.72</v>
      </c>
      <c r="I242" s="155">
        <f ca="1">ORÇAMENTO!X242</f>
        <v>172.72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>F</v>
      </c>
      <c r="D243" s="147" t="str">
        <f ca="1">ORÇAMENTO!O243</f>
        <v>4.1.20.</v>
      </c>
      <c r="E243" s="207" t="str">
        <f t="shared" ca="1" si="35"/>
        <v>JANELA BASCULANTE EM ALUMINIO, 80 X 60 CM (A X L), ACABAMENTO ACET OU BRILHANTE, BATENTE/REQUADRO DE 3 A 14 CM, COM VIDRO, SEM GUARNICAO/ALIZAR</v>
      </c>
      <c r="F243" s="208" t="str">
        <f t="shared" ca="1" si="36"/>
        <v xml:space="preserve">UN    </v>
      </c>
      <c r="G243" s="152">
        <f ca="1">IF(RegimeExecucao="Global","",ORÇAMENTO!T243)</f>
        <v>1</v>
      </c>
      <c r="H243" s="152">
        <f ca="1">IF(RegimeExecucao="Global","",ORÇAMENTO!W243)</f>
        <v>197.34</v>
      </c>
      <c r="I243" s="155">
        <f ca="1">ORÇAMENTO!X243</f>
        <v>197.34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>F</v>
      </c>
      <c r="D244" s="147" t="str">
        <f ca="1">ORÇAMENTO!O244</f>
        <v>4.1.21.</v>
      </c>
      <c r="E244" s="207" t="str">
        <f t="shared" ca="1" si="35"/>
        <v>PORTA DE MADEIRA, FOLHA MEDIA (NBR 15930) DE 90 X 210 CM, E = 35 MM, NUCLEO SARRAFEADO, CAPA LISA EM HDF, ACABAMENTO EM LAMINADO NATURAL PARA VERNIZ</v>
      </c>
      <c r="F244" s="208" t="str">
        <f t="shared" ca="1" si="36"/>
        <v xml:space="preserve">UN    </v>
      </c>
      <c r="G244" s="152">
        <f ca="1">IF(RegimeExecucao="Global","",ORÇAMENTO!T244)</f>
        <v>1</v>
      </c>
      <c r="H244" s="152">
        <f ca="1">IF(RegimeExecucao="Global","",ORÇAMENTO!W244)</f>
        <v>246.96</v>
      </c>
      <c r="I244" s="155">
        <f ca="1">ORÇAMENTO!X244</f>
        <v>246.96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>F</v>
      </c>
      <c r="D245" s="147" t="str">
        <f ca="1">ORÇAMENTO!O245</f>
        <v>4.1.22.</v>
      </c>
      <c r="E245" s="207" t="str">
        <f t="shared" ca="1" si="35"/>
        <v>BARRA DE APOIO RETA, EM ACO INOX POLIDO, COMPRIMENTO 70 CM,  FIXADA NA PAREDE - FORNECIMENTO E INSTALAÇÃO. AF_01/2020</v>
      </c>
      <c r="F245" s="208" t="str">
        <f t="shared" ca="1" si="36"/>
        <v>UN</v>
      </c>
      <c r="G245" s="152">
        <f ca="1">IF(RegimeExecucao="Global","",ORÇAMENTO!T245)</f>
        <v>2</v>
      </c>
      <c r="H245" s="152">
        <f ca="1">IF(RegimeExecucao="Global","",ORÇAMENTO!W245)</f>
        <v>318.67</v>
      </c>
      <c r="I245" s="155">
        <f ca="1">ORÇAMENTO!X245</f>
        <v>637.34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>
        <f ca="1">ORÇAMENTO!C247</f>
        <v>2</v>
      </c>
      <c r="B247">
        <f ca="1">ORÇAMENTO!D247</f>
        <v>19</v>
      </c>
      <c r="C247" s="144" t="str">
        <f t="shared" ca="1" si="34"/>
        <v>F</v>
      </c>
      <c r="D247" s="147" t="str">
        <f ca="1">ORÇAMENTO!O247</f>
        <v>4.2.</v>
      </c>
      <c r="E247" s="207" t="str">
        <f t="shared" ca="1" si="35"/>
        <v>(INSTALAÇÕES ELÉTRICAS)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228.94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>F</v>
      </c>
      <c r="D248" s="147" t="str">
        <f ca="1">ORÇAMENTO!O248</f>
        <v>4.2.1.</v>
      </c>
      <c r="E248" s="207" t="str">
        <f t="shared" ca="1" si="35"/>
        <v>FIO DE COBRE, SOLIDO, CLASSE 1, ISOLACAO EM PVC/A, ANTICHAMA BWF-B, 450/750V, SECAO NOMINAL 2,5 MM2</v>
      </c>
      <c r="F248" s="208" t="str">
        <f t="shared" ca="1" si="36"/>
        <v xml:space="preserve">M     </v>
      </c>
      <c r="G248" s="152">
        <f ca="1">IF(RegimeExecucao="Global","",ORÇAMENTO!T248)</f>
        <v>19</v>
      </c>
      <c r="H248" s="152">
        <f ca="1">IF(RegimeExecucao="Global","",ORÇAMENTO!W248)</f>
        <v>1.5</v>
      </c>
      <c r="I248" s="155">
        <f ca="1">ORÇAMENTO!X248</f>
        <v>28.5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>F</v>
      </c>
      <c r="D249" s="147" t="str">
        <f ca="1">ORÇAMENTO!O249</f>
        <v>4.2.2.</v>
      </c>
      <c r="E249" s="207" t="str">
        <f t="shared" ca="1" si="35"/>
        <v>FIO DE COBRE, SOLIDO, CLASSE 1, ISOLACAO EM PVC/A, ANTICHAMA BWF-B, 450/750V, SECAO NOMINAL 4 MM2</v>
      </c>
      <c r="F249" s="208" t="str">
        <f t="shared" ca="1" si="36"/>
        <v xml:space="preserve">M     </v>
      </c>
      <c r="G249" s="152">
        <f ca="1">IF(RegimeExecucao="Global","",ORÇAMENTO!T249)</f>
        <v>17</v>
      </c>
      <c r="H249" s="152">
        <f ca="1">IF(RegimeExecucao="Global","",ORÇAMENTO!W249)</f>
        <v>2.57</v>
      </c>
      <c r="I249" s="155">
        <f ca="1">ORÇAMENTO!X249</f>
        <v>43.69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>F</v>
      </c>
      <c r="D250" s="147" t="str">
        <f ca="1">ORÇAMENTO!O250</f>
        <v>4.2.3.</v>
      </c>
      <c r="E250" s="207" t="str">
        <f t="shared" ca="1" si="35"/>
        <v>INTERRUPTOR SIMPLES + INTERRUPTOR PARALELO 10A, 250V, CONJUNTO MONTADO PARA EMBUTIR 4" X 2" (PLACA + SUPORTE + MODULOS)</v>
      </c>
      <c r="F250" s="208" t="str">
        <f t="shared" ca="1" si="36"/>
        <v xml:space="preserve">UN    </v>
      </c>
      <c r="G250" s="152">
        <f ca="1">IF(RegimeExecucao="Global","",ORÇAMENTO!T250)</f>
        <v>1</v>
      </c>
      <c r="H250" s="152">
        <f ca="1">IF(RegimeExecucao="Global","",ORÇAMENTO!W250)</f>
        <v>19.52</v>
      </c>
      <c r="I250" s="155">
        <f ca="1">ORÇAMENTO!X250</f>
        <v>19.52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>F</v>
      </c>
      <c r="D251" s="147" t="str">
        <f ca="1">ORÇAMENTO!O251</f>
        <v>4.2.4.</v>
      </c>
      <c r="E251" s="207" t="str">
        <f t="shared" ca="1" si="35"/>
        <v>TOMADA 2P+T 20A 250V, CONJUNTO MONTADO PARA EMBUTIR 4" X 2" (PLACA + SUPORTE + MODULO)</v>
      </c>
      <c r="F251" s="208" t="str">
        <f t="shared" ca="1" si="36"/>
        <v xml:space="preserve">UN    </v>
      </c>
      <c r="G251" s="152">
        <f ca="1">IF(RegimeExecucao="Global","",ORÇAMENTO!T251)</f>
        <v>1</v>
      </c>
      <c r="H251" s="152">
        <f ca="1">IF(RegimeExecucao="Global","",ORÇAMENTO!W251)</f>
        <v>19.850000000000001</v>
      </c>
      <c r="I251" s="155">
        <f ca="1">ORÇAMENTO!X251</f>
        <v>19.850000000000001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>F</v>
      </c>
      <c r="D252" s="147" t="str">
        <f ca="1">ORÇAMENTO!O252</f>
        <v>4.2.5.</v>
      </c>
      <c r="E252" s="207" t="str">
        <f t="shared" ca="1" si="35"/>
        <v>SOQUETE DE PORCELANA BASE E27, FIXO DE TETO, PARA LAMPADAS</v>
      </c>
      <c r="F252" s="208" t="str">
        <f t="shared" ca="1" si="36"/>
        <v xml:space="preserve">UN    </v>
      </c>
      <c r="G252" s="152">
        <f ca="1">IF(RegimeExecucao="Global","",ORÇAMENTO!T252)</f>
        <v>2</v>
      </c>
      <c r="H252" s="152">
        <f ca="1">IF(RegimeExecucao="Global","",ORÇAMENTO!W252)</f>
        <v>4.04</v>
      </c>
      <c r="I252" s="155">
        <f ca="1">ORÇAMENTO!X252</f>
        <v>8.08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>F</v>
      </c>
      <c r="D253" s="147" t="str">
        <f ca="1">ORÇAMENTO!O253</f>
        <v>4.2.6.</v>
      </c>
      <c r="E253" s="207" t="str">
        <f t="shared" ca="1" si="35"/>
        <v>LAMPADA FLUORESCENTE ESPIRAL BRANCA 45 W, BASE E27 (127/220 V)</v>
      </c>
      <c r="F253" s="208" t="str">
        <f t="shared" ca="1" si="36"/>
        <v xml:space="preserve">UN    </v>
      </c>
      <c r="G253" s="152">
        <f ca="1">IF(RegimeExecucao="Global","",ORÇAMENTO!T253)</f>
        <v>1</v>
      </c>
      <c r="H253" s="152">
        <f ca="1">IF(RegimeExecucao="Global","",ORÇAMENTO!W253)</f>
        <v>62.48</v>
      </c>
      <c r="I253" s="155">
        <f ca="1">ORÇAMENTO!X253</f>
        <v>62.48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>F</v>
      </c>
      <c r="D254" s="147" t="str">
        <f ca="1">ORÇAMENTO!O254</f>
        <v>4.2.7.</v>
      </c>
      <c r="E254" s="207" t="str">
        <f t="shared" ca="1" si="35"/>
        <v>ELETRODUTO RÍGIDO ROSCÁVEL, PVC, DN 25 MM (3/4"), PARA CIRCUITOS TERMINAIS, INSTALADO EM FORRO - FORNECIMENTO E INSTALAÇÃO. AF_12/2015</v>
      </c>
      <c r="F254" s="208" t="str">
        <f t="shared" ca="1" si="36"/>
        <v>M</v>
      </c>
      <c r="G254" s="152">
        <f ca="1">IF(RegimeExecucao="Global","",ORÇAMENTO!T254)</f>
        <v>2</v>
      </c>
      <c r="H254" s="152">
        <f ca="1">IF(RegimeExecucao="Global","",ORÇAMENTO!W254)</f>
        <v>10.93</v>
      </c>
      <c r="I254" s="155">
        <f ca="1">ORÇAMENTO!X254</f>
        <v>21.86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>F</v>
      </c>
      <c r="D255" s="147" t="str">
        <f ca="1">ORÇAMENTO!O255</f>
        <v>4.2.8.</v>
      </c>
      <c r="E255" s="207" t="str">
        <f t="shared" ca="1" si="35"/>
        <v>RASGO EM ALVENARIA PARA ELETRODUTOS COM DIAMETROS MENORES OU IGUAIS A 40 MM. AF_05/2015</v>
      </c>
      <c r="F255" s="208" t="str">
        <f t="shared" ca="1" si="36"/>
        <v>M</v>
      </c>
      <c r="G255" s="152">
        <f ca="1">IF(RegimeExecucao="Global","",ORÇAMENTO!T255)</f>
        <v>2</v>
      </c>
      <c r="H255" s="152">
        <f ca="1">IF(RegimeExecucao="Global","",ORÇAMENTO!W255)</f>
        <v>6.93</v>
      </c>
      <c r="I255" s="155">
        <f ca="1">ORÇAMENTO!X255</f>
        <v>13.86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>F</v>
      </c>
      <c r="D256" s="147" t="str">
        <f ca="1">ORÇAMENTO!O256</f>
        <v>4.2.9.</v>
      </c>
      <c r="E256" s="207" t="str">
        <f t="shared" ca="1" si="35"/>
        <v>ELETRODUTO PVC FLEXIVEL CORRUGADO, COR AMARELA, DE 20 MM</v>
      </c>
      <c r="F256" s="208" t="str">
        <f t="shared" ca="1" si="36"/>
        <v xml:space="preserve">M     </v>
      </c>
      <c r="G256" s="152">
        <f ca="1">IF(RegimeExecucao="Global","",ORÇAMENTO!T256)</f>
        <v>6</v>
      </c>
      <c r="H256" s="152">
        <f ca="1">IF(RegimeExecucao="Global","",ORÇAMENTO!W256)</f>
        <v>1.85</v>
      </c>
      <c r="I256" s="155">
        <f ca="1">ORÇAMENTO!X256</f>
        <v>11.1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5" t="s">
        <v>186</v>
      </c>
      <c r="E268" s="765"/>
      <c r="F268" s="765"/>
      <c r="G268" s="765"/>
      <c r="H268" s="765"/>
      <c r="I268" s="765"/>
      <c r="J268" s="765"/>
      <c r="K268" s="765"/>
      <c r="L268" s="765"/>
      <c r="M268" s="765"/>
      <c r="N268" s="765"/>
      <c r="O268" s="765"/>
      <c r="T268" s="766" t="s">
        <v>352</v>
      </c>
      <c r="U268" s="766"/>
      <c r="V268" s="766"/>
      <c r="W268" s="766"/>
      <c r="X268" s="766"/>
      <c r="Y268" s="766"/>
      <c r="Z268" s="766"/>
    </row>
    <row r="269" spans="1:41" ht="12.75" customHeight="1" x14ac:dyDescent="0.2">
      <c r="C269" s="105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T269" s="767"/>
      <c r="U269" s="767"/>
      <c r="V269" s="767"/>
      <c r="W269" s="767"/>
      <c r="X269" s="767"/>
      <c r="Y269" s="767"/>
      <c r="Z269" s="767"/>
    </row>
    <row r="270" spans="1:41" ht="12.75" customHeight="1" x14ac:dyDescent="0.2">
      <c r="C270" s="105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T270" s="767"/>
      <c r="U270" s="767"/>
      <c r="V270" s="767"/>
      <c r="W270" s="767"/>
      <c r="X270" s="767"/>
      <c r="Y270" s="767"/>
      <c r="Z270" s="767"/>
    </row>
    <row r="271" spans="1:41" ht="12.75" customHeight="1" x14ac:dyDescent="0.2">
      <c r="C271" s="105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T271" s="767"/>
      <c r="U271" s="767"/>
      <c r="V271" s="767"/>
      <c r="W271" s="767"/>
      <c r="X271" s="767"/>
      <c r="Y271" s="767"/>
      <c r="Z271" s="767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5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5"/>
      <c r="F273" s="705"/>
      <c r="G273" s="705"/>
      <c r="H273" s="705"/>
      <c r="I273" s="705"/>
      <c r="J273" s="705"/>
      <c r="K273" s="705"/>
      <c r="L273" s="705"/>
    </row>
    <row r="274" spans="3:26" x14ac:dyDescent="0.2">
      <c r="C274" s="105"/>
      <c r="D274" s="763"/>
      <c r="E274" s="763"/>
      <c r="F274" s="763"/>
      <c r="G274" s="763"/>
      <c r="H274" s="763"/>
      <c r="I274" s="763"/>
    </row>
    <row r="275" spans="3:26" x14ac:dyDescent="0.2">
      <c r="C275" s="105"/>
      <c r="D275" s="761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</row>
    <row r="276" spans="3:26" ht="39.950000000000003" customHeight="1" x14ac:dyDescent="0.2">
      <c r="C276" s="105"/>
      <c r="E276" s="175" t="str">
        <f>Import.Município</f>
        <v xml:space="preserve">CÉU AZUL </v>
      </c>
      <c r="J276" s="762"/>
      <c r="K276" s="762"/>
      <c r="L276" s="762"/>
      <c r="M276" s="762"/>
      <c r="N276" s="105"/>
      <c r="O276" s="105"/>
      <c r="W276" s="762"/>
      <c r="X276" s="762"/>
      <c r="Y276" s="762"/>
      <c r="Z276" s="762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60"/>
      <c r="Y278" s="760"/>
      <c r="Z278" s="760"/>
    </row>
    <row r="279" spans="3:26" x14ac:dyDescent="0.2">
      <c r="C279" s="105"/>
      <c r="E279" s="601">
        <f ca="1">DADOS!$F$47</f>
        <v>43979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60"/>
      <c r="Y279" s="760"/>
      <c r="Z279" s="760"/>
    </row>
    <row r="280" spans="3:26" x14ac:dyDescent="0.2">
      <c r="C280" s="105"/>
      <c r="E280" s="178" t="s">
        <v>188</v>
      </c>
      <c r="J280" s="95" t="s">
        <v>108</v>
      </c>
      <c r="K280" s="354" t="str">
        <v>21735/D</v>
      </c>
      <c r="L280" s="96"/>
      <c r="M280" s="105"/>
      <c r="N280" s="105"/>
      <c r="O280" s="105"/>
      <c r="W280" s="95" t="s">
        <v>108</v>
      </c>
      <c r="X280" s="760"/>
      <c r="Y280" s="760"/>
      <c r="Z280" s="760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5" t="s">
        <v>146</v>
      </c>
      <c r="F3" s="695"/>
      <c r="G3" s="695"/>
      <c r="H3" s="695"/>
      <c r="I3" s="684" t="s">
        <v>440</v>
      </c>
      <c r="J3" s="684"/>
      <c r="K3" s="684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0" t="str">
        <f>Import.Proponente</f>
        <v xml:space="preserve">MUNICIPIO DE CÉU AZUL </v>
      </c>
      <c r="F4" s="700"/>
      <c r="G4" s="700"/>
      <c r="H4" s="700"/>
      <c r="I4" s="687">
        <f>Import.CR</f>
        <v>0</v>
      </c>
      <c r="J4" s="687"/>
      <c r="K4" s="687"/>
      <c r="L4" s="73">
        <f>Import.SICONV</f>
        <v>0</v>
      </c>
      <c r="M4" s="776" t="s">
        <v>306</v>
      </c>
      <c r="N4" s="777"/>
      <c r="O4" s="778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4" t="s">
        <v>201</v>
      </c>
      <c r="F6" s="684"/>
      <c r="G6" s="684"/>
      <c r="H6" s="684"/>
      <c r="I6" s="804" t="s">
        <v>305</v>
      </c>
      <c r="J6" s="804"/>
      <c r="K6" s="804"/>
      <c r="L6" s="804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7" t="s">
        <v>208</v>
      </c>
      <c r="E7" s="687" t="str">
        <f>Import.Apelido</f>
        <v xml:space="preserve">REFORMA E AMPLIAÇÃO DA ESCOLA OLAVO BILAC </v>
      </c>
      <c r="F7" s="687"/>
      <c r="G7" s="687"/>
      <c r="H7" s="687"/>
      <c r="I7" s="801" t="str">
        <f>Import.Município</f>
        <v xml:space="preserve">CÉU AZUL </v>
      </c>
      <c r="J7" s="801"/>
      <c r="K7" s="801"/>
      <c r="L7" s="801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7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7"/>
      <c r="G9" s="802" t="s">
        <v>360</v>
      </c>
      <c r="H9" s="802"/>
      <c r="I9" s="802" t="s">
        <v>361</v>
      </c>
      <c r="J9" s="802"/>
      <c r="K9" s="453"/>
      <c r="L9" s="803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7"/>
      <c r="G10" s="689" t="str">
        <f ca="1">IF(J10="-","-",IF($P$24&lt;J10,"Atrasada",IF($P$24&gt;J10,"Adiantada","Normal")))</f>
        <v>Normal</v>
      </c>
      <c r="H10" s="689"/>
      <c r="I10" s="456">
        <f>DATE(YEAR($L$35),MONTH($L$35),1)</f>
        <v>43952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3"/>
      <c r="M10" s="458">
        <f ca="1">QCI!L10</f>
        <v>0</v>
      </c>
      <c r="N10" s="365">
        <f ca="1">QCI!M10</f>
        <v>-160564.95000000001</v>
      </c>
      <c r="P10" s="455"/>
      <c r="R10" s="185"/>
      <c r="S10" s="185"/>
      <c r="T10" s="185"/>
      <c r="U10" s="185"/>
      <c r="AC10" s="798" t="s">
        <v>363</v>
      </c>
      <c r="AD10" s="798"/>
      <c r="AE10" s="798"/>
      <c r="AF10" s="798"/>
      <c r="AG10" s="798"/>
      <c r="AH10" s="798"/>
      <c r="AJ10" s="798" t="s">
        <v>4</v>
      </c>
      <c r="AK10" s="798"/>
      <c r="AL10" s="798"/>
      <c r="AM10" s="798"/>
      <c r="AN10" s="798"/>
      <c r="AO10" s="798"/>
    </row>
    <row r="11" spans="1:41" ht="20.100000000000001" customHeight="1" x14ac:dyDescent="0.2">
      <c r="D11" s="677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9" t="str">
        <f>IF(CAIXA.Modo,"Valores Aferidos (R$)","Valores Medidos (R$)")</f>
        <v>Valores Medidos (R$)</v>
      </c>
      <c r="Z11" s="799"/>
      <c r="AC11" s="800" t="s">
        <v>364</v>
      </c>
      <c r="AD11" s="800"/>
      <c r="AE11" s="800"/>
      <c r="AF11" s="800" t="s">
        <v>365</v>
      </c>
      <c r="AG11" s="800"/>
      <c r="AH11" s="800"/>
      <c r="AJ11" s="800" t="s">
        <v>364</v>
      </c>
      <c r="AK11" s="800"/>
      <c r="AL11" s="800"/>
      <c r="AM11" s="800" t="s">
        <v>365</v>
      </c>
      <c r="AN11" s="800"/>
      <c r="AO11" s="800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75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(VESTIÁRIO LAVANDERIA / COZINHA)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58864.160000000003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76</v>
      </c>
      <c r="B15">
        <f ca="1">IF(ISERROR($A15),NA(),OFFSET(ORÇAMENTO!$D$15,$A15,0))</f>
        <v>57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(SALA DE AULA)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60698.32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>
        <f ca="1">MATCH(E16,ORÇAMENTO!$E$15:$E$266,0)-1</f>
        <v>133</v>
      </c>
      <c r="B16">
        <f ca="1">IF(ISERROR($A16),NA(),OFFSET(ORÇAMENTO!$D$15,$A16,0))</f>
        <v>74</v>
      </c>
      <c r="C16" t="str">
        <f ca="1">QCI!B16</f>
        <v>Automático</v>
      </c>
      <c r="D16" t="str">
        <f t="shared" ca="1" si="0"/>
        <v>F</v>
      </c>
      <c r="E16" s="461">
        <f>QCI!D16</f>
        <v>3</v>
      </c>
      <c r="F16" s="462" t="str">
        <f ca="1">QCI!G16</f>
        <v>(COZINHA)</v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>LOTE 1</v>
      </c>
      <c r="K16" s="467">
        <f t="shared" ca="1" si="1"/>
        <v>1</v>
      </c>
      <c r="L16" s="468">
        <f ca="1">QCI!$O16</f>
        <v>36338.35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>
        <f ca="1">MATCH(E17,ORÇAMENTO!$E$15:$E$266,0)-1</f>
        <v>207</v>
      </c>
      <c r="B17">
        <f ca="1">IF(ISERROR($A17),NA(),OFFSET(ORÇAMENTO!$D$15,$A17,0))</f>
        <v>44</v>
      </c>
      <c r="C17" t="str">
        <f ca="1">QCI!B17</f>
        <v>Automático</v>
      </c>
      <c r="D17" t="str">
        <f t="shared" ca="1" si="0"/>
        <v>F</v>
      </c>
      <c r="E17" s="461">
        <f>QCI!D17</f>
        <v>4</v>
      </c>
      <c r="F17" s="462" t="str">
        <f ca="1">QCI!G17</f>
        <v>(BANHEIRO ADAPTADO )</v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>LOTE 1</v>
      </c>
      <c r="K17" s="467">
        <f t="shared" ca="1" si="1"/>
        <v>1</v>
      </c>
      <c r="L17" s="468">
        <f ca="1">QCI!$O17</f>
        <v>4664.12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6" t="s">
        <v>375</v>
      </c>
      <c r="K24" s="787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8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9" t="str">
        <f>IF(import.recurso="FGTS","Financiamento","Repasse")</f>
        <v>Repasse</v>
      </c>
      <c r="K25" s="790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8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1" t="s">
        <v>380</v>
      </c>
      <c r="K26" s="792"/>
      <c r="L26" s="490">
        <f ca="1">QCI!M24</f>
        <v>160564.95000000001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8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3" t="s">
        <v>357</v>
      </c>
      <c r="K27" s="794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8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5" t="s">
        <v>359</v>
      </c>
      <c r="K28" s="796"/>
      <c r="L28" s="501">
        <f ca="1">SUM(L13:OFFSET(L24,-1,0))</f>
        <v>160564.95000000001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8"/>
      <c r="X28" s="505"/>
      <c r="Y28" s="506"/>
      <c r="Z28" s="507"/>
    </row>
    <row r="29" spans="1:41" x14ac:dyDescent="0.2">
      <c r="O29" s="797" t="str">
        <f ca="1">"Acumulado Anterior:  "&amp;TEXT($M$28/($L$28+10^-12),"0,00%")</f>
        <v>Acumulado Anterior:  0,00%</v>
      </c>
      <c r="P29" s="797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9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1"/>
      <c r="R31" s="106"/>
      <c r="S31" s="106"/>
      <c r="T31" s="106"/>
      <c r="U31" s="106"/>
    </row>
    <row r="32" spans="1:41" ht="12.75" customHeight="1" x14ac:dyDescent="0.2">
      <c r="E32" s="779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1"/>
      <c r="R32" s="106"/>
      <c r="S32" s="106"/>
      <c r="T32" s="106"/>
      <c r="U32" s="106"/>
      <c r="Y32" s="508"/>
      <c r="Z32" s="508"/>
    </row>
    <row r="33" spans="5:21" ht="12.75" customHeight="1" x14ac:dyDescent="0.2">
      <c r="E33" s="782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4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6" t="str">
        <f>Import.Município</f>
        <v xml:space="preserve">CÉU AZUL </v>
      </c>
      <c r="F35" s="706"/>
      <c r="G35" s="706"/>
      <c r="I35" s="509"/>
      <c r="J35" s="101"/>
      <c r="L35" s="716">
        <f>DADOS!$F$25</f>
        <v>43975</v>
      </c>
      <c r="M35" s="716"/>
      <c r="N35" s="716"/>
      <c r="O35" s="716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GERMANO BONAMIGO</v>
      </c>
      <c r="L40" s="95" t="s">
        <v>107</v>
      </c>
      <c r="M40" s="785" t="str">
        <f>IF(CAIXA.Modo,BM!X278,DADOS!F50)</f>
        <v>JOÃO YASUJI SAKAI</v>
      </c>
      <c r="N40" s="785"/>
      <c r="O40" s="785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5" t="str">
        <f>IF(CAIXA.Modo,BM!X279,DADOS!F51)</f>
        <v>ENGENHEIRO CIVIL</v>
      </c>
      <c r="N41" s="785"/>
      <c r="O41" s="785"/>
      <c r="R41" s="106"/>
      <c r="S41" s="106"/>
      <c r="T41" s="106"/>
      <c r="U41" s="106"/>
    </row>
    <row r="42" spans="5:21" x14ac:dyDescent="0.2">
      <c r="L42" s="95" t="s">
        <v>108</v>
      </c>
      <c r="M42" s="785" t="str">
        <f>IF(CAIXA.Modo,BM!X280,DADOS!F52)</f>
        <v>21735/D</v>
      </c>
      <c r="N42" s="785"/>
      <c r="O42" s="785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60"/>
      <c r="G47" s="760"/>
      <c r="L47" s="95" t="s">
        <v>107</v>
      </c>
      <c r="M47" s="760"/>
      <c r="N47" s="760"/>
      <c r="O47" s="760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60"/>
      <c r="G48" s="760"/>
      <c r="L48" s="95" t="str">
        <f>IF(CAIXA.Modo,"Função:","Cargo:")</f>
        <v>Cargo:</v>
      </c>
      <c r="M48" s="760"/>
      <c r="N48" s="760"/>
      <c r="O48" s="760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60"/>
      <c r="G49" s="760"/>
      <c r="L49" s="95" t="str">
        <f>IF(CAIXA.Modo,"Matrícula:","")</f>
        <v/>
      </c>
      <c r="M49" s="760"/>
      <c r="N49" s="760"/>
      <c r="O49" s="760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3"/>
      <c r="C1" s="823"/>
      <c r="D1" s="66"/>
      <c r="E1" s="66"/>
      <c r="F1" s="66"/>
      <c r="G1" s="656" t="s">
        <v>139</v>
      </c>
    </row>
    <row r="2" spans="2:17" x14ac:dyDescent="0.2">
      <c r="B2" s="823"/>
      <c r="C2" s="823"/>
      <c r="D2" s="511"/>
      <c r="E2" s="511"/>
      <c r="F2" s="511"/>
      <c r="G2" s="657" t="s">
        <v>381</v>
      </c>
    </row>
    <row r="3" spans="2:17" ht="26.1" customHeight="1" x14ac:dyDescent="0.2">
      <c r="B3" s="823"/>
      <c r="C3" s="823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3"/>
      <c r="C4" s="823"/>
      <c r="D4" s="511"/>
      <c r="E4" s="511"/>
      <c r="F4" s="511"/>
      <c r="G4" s="511"/>
      <c r="I4" s="824" t="s">
        <v>383</v>
      </c>
      <c r="J4" s="820" t="s">
        <v>384</v>
      </c>
      <c r="K4" s="820" t="s">
        <v>385</v>
      </c>
      <c r="L4" s="820" t="s">
        <v>386</v>
      </c>
    </row>
    <row r="5" spans="2:17" x14ac:dyDescent="0.2">
      <c r="I5" s="824"/>
      <c r="J5" s="820"/>
      <c r="K5" s="820"/>
      <c r="L5" s="820"/>
    </row>
    <row r="6" spans="2:17" x14ac:dyDescent="0.2">
      <c r="B6" s="636" t="s">
        <v>387</v>
      </c>
      <c r="C6" s="821"/>
      <c r="D6" s="821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160564.95000000001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2" t="str">
        <f>CONCATENATE(RRE!$E$35,", ",TEXT(RRE!$L$35,"dd"" de ""mmmm"" de ""aaaa"))</f>
        <v>CÉU AZUL , 24 de maio de 2020</v>
      </c>
      <c r="C8" s="822"/>
      <c r="D8" s="822"/>
      <c r="E8" s="822"/>
      <c r="F8" s="822"/>
      <c r="G8" s="822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6" t="s">
        <v>389</v>
      </c>
      <c r="C10" s="816"/>
      <c r="D10" s="816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5"/>
      <c r="D11" s="815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6" t="str">
        <f ca="1">CONCATENATE(RRE.Numero,"ª"," Solicitação de ",IF(import.recurso="OGU","Desbloqueio","Desembolso")," de Recursos.")</f>
        <v>1ª Solicitação de Desembolso de Recursos.</v>
      </c>
      <c r="D14" s="816"/>
      <c r="E14" s="816"/>
      <c r="F14" s="816"/>
      <c r="G14" s="816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7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7"/>
      <c r="E15" s="817"/>
      <c r="F15" s="817"/>
      <c r="G15" s="817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7"/>
      <c r="D16" s="817"/>
      <c r="E16" s="817"/>
      <c r="F16" s="817"/>
      <c r="G16" s="817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8">
        <f>Import.DescLote</f>
        <v>0</v>
      </c>
      <c r="D18" s="818"/>
      <c r="E18" s="818"/>
      <c r="F18" s="818"/>
      <c r="G18" s="818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 xml:space="preserve">MUNICIPIO DE CÉU AZUL </v>
      </c>
      <c r="D19" s="814"/>
      <c r="E19" s="814"/>
      <c r="F19" s="814"/>
      <c r="G19" s="814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9" t="s">
        <v>394</v>
      </c>
      <c r="E28" s="819" t="str">
        <f ca="1">"Evolução da "&amp;RRE.Numero&amp;"ª Medição"</f>
        <v>Evolução da 1ª Medição</v>
      </c>
      <c r="F28" s="819" t="s">
        <v>395</v>
      </c>
      <c r="G28" s="819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2"/>
      <c r="C29" s="812"/>
      <c r="D29" s="819"/>
      <c r="E29" s="819"/>
      <c r="F29" s="819"/>
      <c r="G29" s="819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7" t="str">
        <f>IF(import.recurso="FGTS","Financiamento:","Repasse:")</f>
        <v>Repasse:</v>
      </c>
      <c r="C30" s="807"/>
      <c r="D30" s="648">
        <f ca="1">RRE!L25</f>
        <v>0</v>
      </c>
      <c r="E30" s="648">
        <f ca="1">RRE!N25</f>
        <v>0</v>
      </c>
      <c r="F30" s="808">
        <f ca="1">RRE!O25</f>
        <v>0</v>
      </c>
      <c r="G30" s="808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7" t="s">
        <v>396</v>
      </c>
      <c r="C31" s="807"/>
      <c r="D31" s="648">
        <f ca="1">RRE!L26</f>
        <v>160564.95000000001</v>
      </c>
      <c r="E31" s="648">
        <f ca="1">RRE!N26</f>
        <v>0</v>
      </c>
      <c r="F31" s="808">
        <f ca="1">RRE!O26</f>
        <v>0</v>
      </c>
      <c r="G31" s="808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7" t="s">
        <v>284</v>
      </c>
      <c r="C32" s="807"/>
      <c r="D32" s="648">
        <f ca="1">RRE!L27</f>
        <v>0</v>
      </c>
      <c r="E32" s="648">
        <f ca="1">RRE!N27</f>
        <v>0</v>
      </c>
      <c r="F32" s="808">
        <f ca="1">RRE!O27</f>
        <v>0</v>
      </c>
      <c r="G32" s="808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7" t="s">
        <v>285</v>
      </c>
      <c r="C33" s="807"/>
      <c r="D33" s="648">
        <f ca="1">RRE!L28</f>
        <v>160564.95000000001</v>
      </c>
      <c r="E33" s="648">
        <f ca="1">RRE!N28</f>
        <v>0</v>
      </c>
      <c r="F33" s="808">
        <f ca="1">RRE!O28</f>
        <v>0</v>
      </c>
      <c r="G33" s="808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7" t="s">
        <v>397</v>
      </c>
      <c r="C34" s="807"/>
      <c r="D34" s="649" t="s">
        <v>165</v>
      </c>
      <c r="E34" s="650">
        <f ca="1">RRE!$N$28/(RRE!$L$28+10^-12)</f>
        <v>0</v>
      </c>
      <c r="F34" s="809">
        <f ca="1">RRE!P24</f>
        <v>0</v>
      </c>
      <c r="G34" s="809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10" t="str">
        <f ca="1">IF(RRE.Numero&gt;1,"2. Encaminhamos ainda a documentação relativa à prestação de contas da etapa físico-financeira anterior.","")</f>
        <v/>
      </c>
      <c r="C37" s="810"/>
      <c r="D37" s="810"/>
      <c r="E37" s="810"/>
      <c r="F37" s="810"/>
      <c r="G37" s="810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10"/>
      <c r="C38" s="810"/>
      <c r="D38" s="810"/>
      <c r="E38" s="810"/>
      <c r="F38" s="810"/>
      <c r="G38" s="810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10" t="str">
        <f ca="1">IF(AND(RRE.Numero&gt;1,NOT(ISBLANK(Import.SICONV))),"3. Na oportunidade, informamos que a execução financeira da parcela anterior está devidamente comprovada no SICONV.","")</f>
        <v/>
      </c>
      <c r="C39" s="810"/>
      <c r="D39" s="810"/>
      <c r="E39" s="810"/>
      <c r="F39" s="810"/>
      <c r="G39" s="810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10"/>
      <c r="C40" s="810"/>
      <c r="D40" s="810"/>
      <c r="E40" s="810"/>
      <c r="F40" s="810"/>
      <c r="G40" s="810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1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0"/>
      <c r="D42" s="810"/>
      <c r="E42" s="810"/>
      <c r="F42" s="810"/>
      <c r="G42" s="810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10"/>
      <c r="C43" s="810"/>
      <c r="D43" s="810"/>
      <c r="E43" s="810"/>
      <c r="F43" s="810"/>
      <c r="G43" s="810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10"/>
      <c r="C44" s="810"/>
      <c r="D44" s="810"/>
      <c r="E44" s="810"/>
      <c r="F44" s="810"/>
      <c r="G44" s="810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10"/>
      <c r="C45" s="810"/>
      <c r="D45" s="810"/>
      <c r="E45" s="810"/>
      <c r="F45" s="810"/>
      <c r="G45" s="810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10"/>
      <c r="C46" s="810"/>
      <c r="D46" s="810"/>
      <c r="E46" s="810"/>
      <c r="F46" s="810"/>
      <c r="G46" s="810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5" t="str">
        <f>DADOS!$F$28</f>
        <v>GERMANO BONAMIGO</v>
      </c>
      <c r="C54" s="805"/>
      <c r="D54" s="805"/>
      <c r="E54" s="805"/>
      <c r="F54" s="805"/>
      <c r="G54" s="805"/>
    </row>
    <row r="55" spans="2:7" x14ac:dyDescent="0.2">
      <c r="B55" s="805" t="str">
        <f>DADOS!$F$29</f>
        <v>PREFEITO</v>
      </c>
      <c r="C55" s="805"/>
      <c r="D55" s="805"/>
      <c r="E55" s="805"/>
      <c r="F55" s="805"/>
      <c r="G55" s="805"/>
    </row>
    <row r="56" spans="2:7" x14ac:dyDescent="0.2">
      <c r="B56" s="806"/>
      <c r="C56" s="806"/>
      <c r="D56" s="806"/>
      <c r="E56" s="806"/>
      <c r="F56" s="806"/>
      <c r="G56" s="806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Usuário do Windows</cp:lastModifiedBy>
  <cp:revision>5</cp:revision>
  <cp:lastPrinted>2020-05-28T13:26:03Z</cp:lastPrinted>
  <dcterms:created xsi:type="dcterms:W3CDTF">1997-01-10T22:22:50Z</dcterms:created>
  <dcterms:modified xsi:type="dcterms:W3CDTF">2020-05-28T13:29:15Z</dcterms:modified>
</cp:coreProperties>
</file>